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5600" windowHeight="7755" activeTab="2"/>
  </bookViews>
  <sheets>
    <sheet name="Video 10" sheetId="1" r:id="rId1"/>
    <sheet name="Dashboard" sheetId="2" r:id="rId2"/>
    <sheet name="Datasheet" sheetId="3" r:id="rId3"/>
    <sheet name="Nestle Stock Analysis" sheetId="4" r:id="rId4"/>
    <sheet name="Monthly Family Budget" sheetId="6" r:id="rId5"/>
  </sheets>
  <definedNames>
    <definedName name="_xlnm.Print_Area" localSheetId="4">'Monthly Family Budget'!$B$1:$J$68</definedName>
  </definedNames>
  <calcPr calcId="145621"/>
</workbook>
</file>

<file path=xl/calcChain.xml><?xml version="1.0" encoding="utf-8"?>
<calcChain xmlns="http://schemas.openxmlformats.org/spreadsheetml/2006/main">
  <c r="H3" i="2" l="1"/>
  <c r="G39" i="3"/>
  <c r="F39" i="3"/>
  <c r="E39" i="3"/>
  <c r="D39" i="3"/>
  <c r="C39" i="3"/>
  <c r="B39" i="3"/>
  <c r="I68" i="6" l="1"/>
  <c r="H68" i="6"/>
  <c r="D68" i="6"/>
  <c r="C68" i="6"/>
  <c r="J67" i="6"/>
  <c r="E67" i="6"/>
  <c r="J66" i="6"/>
  <c r="E66" i="6"/>
  <c r="J65" i="6"/>
  <c r="J68" i="6" s="1"/>
  <c r="E65" i="6"/>
  <c r="E64" i="6"/>
  <c r="E68" i="6" s="1"/>
  <c r="I62" i="6"/>
  <c r="H62" i="6"/>
  <c r="J61" i="6"/>
  <c r="D61" i="6"/>
  <c r="C61" i="6"/>
  <c r="J60" i="6"/>
  <c r="E60" i="6"/>
  <c r="J59" i="6"/>
  <c r="E59" i="6"/>
  <c r="J58" i="6"/>
  <c r="E58" i="6"/>
  <c r="J57" i="6"/>
  <c r="J62" i="6" s="1"/>
  <c r="E57" i="6"/>
  <c r="E61" i="6" s="1"/>
  <c r="I54" i="6"/>
  <c r="H54" i="6"/>
  <c r="D54" i="6"/>
  <c r="C54" i="6"/>
  <c r="J53" i="6"/>
  <c r="E53" i="6"/>
  <c r="J52" i="6"/>
  <c r="E52" i="6"/>
  <c r="J51" i="6"/>
  <c r="E51" i="6"/>
  <c r="J50" i="6"/>
  <c r="E50" i="6"/>
  <c r="J49" i="6"/>
  <c r="E49" i="6"/>
  <c r="J48" i="6"/>
  <c r="E48" i="6"/>
  <c r="J47" i="6"/>
  <c r="J54" i="6" s="1"/>
  <c r="E47" i="6"/>
  <c r="E46" i="6"/>
  <c r="E45" i="6"/>
  <c r="E54" i="6" s="1"/>
  <c r="I44" i="6"/>
  <c r="H44" i="6"/>
  <c r="J43" i="6"/>
  <c r="J42" i="6"/>
  <c r="D42" i="6"/>
  <c r="C42" i="6"/>
  <c r="J41" i="6"/>
  <c r="E41" i="6"/>
  <c r="J40" i="6"/>
  <c r="J44" i="6" s="1"/>
  <c r="E40" i="6"/>
  <c r="E39" i="6"/>
  <c r="E42" i="6" s="1"/>
  <c r="I37" i="6"/>
  <c r="H37" i="6"/>
  <c r="J36" i="6"/>
  <c r="D36" i="6"/>
  <c r="C36" i="6"/>
  <c r="J35" i="6"/>
  <c r="E35" i="6"/>
  <c r="J34" i="6"/>
  <c r="E34" i="6"/>
  <c r="J33" i="6"/>
  <c r="E33" i="6"/>
  <c r="J32" i="6"/>
  <c r="E32" i="6"/>
  <c r="E36" i="6" s="1"/>
  <c r="J31" i="6"/>
  <c r="J30" i="6"/>
  <c r="J37" i="6" s="1"/>
  <c r="D29" i="6"/>
  <c r="C29" i="6"/>
  <c r="E28" i="6"/>
  <c r="I27" i="6"/>
  <c r="H27" i="6"/>
  <c r="E27" i="6"/>
  <c r="J26" i="6"/>
  <c r="E26" i="6"/>
  <c r="J25" i="6"/>
  <c r="E25" i="6"/>
  <c r="J24" i="6"/>
  <c r="E24" i="6"/>
  <c r="J23" i="6"/>
  <c r="E23" i="6"/>
  <c r="J22" i="6"/>
  <c r="E22" i="6"/>
  <c r="J21" i="6"/>
  <c r="J27" i="6" s="1"/>
  <c r="E21" i="6"/>
  <c r="E29" i="6" s="1"/>
  <c r="D18" i="6"/>
  <c r="D4" i="6" s="1"/>
  <c r="C18" i="6"/>
  <c r="C4" i="6" s="1"/>
  <c r="E17" i="6"/>
  <c r="E16" i="6"/>
  <c r="E15" i="6"/>
  <c r="E14" i="6"/>
  <c r="H13" i="6"/>
  <c r="E13" i="6"/>
  <c r="E12" i="6"/>
  <c r="E11" i="6"/>
  <c r="E10" i="6"/>
  <c r="E9" i="6"/>
  <c r="E8" i="6"/>
  <c r="H7" i="6"/>
  <c r="E7" i="6"/>
  <c r="E18" i="6" s="1"/>
  <c r="E4" i="6" s="1"/>
  <c r="H16" i="6" l="1"/>
  <c r="H15" i="6"/>
  <c r="H17" i="6" s="1"/>
  <c r="J130" i="4" l="1"/>
  <c r="I130" i="4"/>
  <c r="H130" i="4"/>
  <c r="G130" i="4"/>
  <c r="K130" i="4" s="1"/>
  <c r="J129" i="4"/>
  <c r="I129" i="4"/>
  <c r="H129" i="4"/>
  <c r="L129" i="4" s="1"/>
  <c r="G129" i="4"/>
  <c r="K129" i="4" s="1"/>
  <c r="J128" i="4"/>
  <c r="I128" i="4"/>
  <c r="H128" i="4"/>
  <c r="G128" i="4"/>
  <c r="J127" i="4"/>
  <c r="I127" i="4"/>
  <c r="H127" i="4"/>
  <c r="G127" i="4"/>
  <c r="K127" i="4" s="1"/>
  <c r="J126" i="4"/>
  <c r="I126" i="4"/>
  <c r="H126" i="4"/>
  <c r="G126" i="4"/>
  <c r="K126" i="4" s="1"/>
  <c r="J125" i="4"/>
  <c r="I125" i="4"/>
  <c r="H125" i="4"/>
  <c r="L125" i="4" s="1"/>
  <c r="G125" i="4"/>
  <c r="K125" i="4" s="1"/>
  <c r="J124" i="4"/>
  <c r="I124" i="4"/>
  <c r="H124" i="4"/>
  <c r="G124" i="4"/>
  <c r="J121" i="4"/>
  <c r="I121" i="4"/>
  <c r="H121" i="4"/>
  <c r="G121" i="4"/>
  <c r="F121" i="4"/>
  <c r="K121" i="4" s="1"/>
  <c r="J120" i="4"/>
  <c r="I120" i="4"/>
  <c r="H120" i="4"/>
  <c r="G120" i="4"/>
  <c r="F120" i="4"/>
  <c r="K120" i="4" s="1"/>
  <c r="J114" i="4"/>
  <c r="I114" i="4"/>
  <c r="H114" i="4"/>
  <c r="G114" i="4"/>
  <c r="L114" i="4" s="1"/>
  <c r="F114" i="4"/>
  <c r="K114" i="4" s="1"/>
  <c r="J113" i="4"/>
  <c r="I113" i="4"/>
  <c r="H113" i="4"/>
  <c r="M113" i="4" s="1"/>
  <c r="G113" i="4"/>
  <c r="L113" i="4" s="1"/>
  <c r="F113" i="4"/>
  <c r="K113" i="4" s="1"/>
  <c r="J112" i="4"/>
  <c r="I112" i="4"/>
  <c r="H112" i="4"/>
  <c r="L112" i="4" s="1"/>
  <c r="G112" i="4"/>
  <c r="K108" i="4"/>
  <c r="L108" i="4" s="1"/>
  <c r="M108" i="4" s="1"/>
  <c r="N108" i="4" s="1"/>
  <c r="O108" i="4" s="1"/>
  <c r="K102" i="4"/>
  <c r="J100" i="4"/>
  <c r="J117" i="4" s="1"/>
  <c r="I100" i="4"/>
  <c r="I117" i="4" s="1"/>
  <c r="H100" i="4"/>
  <c r="H117" i="4" s="1"/>
  <c r="G100" i="4"/>
  <c r="G117" i="4" s="1"/>
  <c r="F100" i="4"/>
  <c r="F117" i="4" s="1"/>
  <c r="J98" i="4"/>
  <c r="I98" i="4"/>
  <c r="H98" i="4"/>
  <c r="G98" i="4"/>
  <c r="J95" i="4"/>
  <c r="I95" i="4"/>
  <c r="H95" i="4"/>
  <c r="G95" i="4"/>
  <c r="J92" i="4"/>
  <c r="I92" i="4"/>
  <c r="H92" i="4"/>
  <c r="G92" i="4"/>
  <c r="J87" i="4"/>
  <c r="I87" i="4"/>
  <c r="H87" i="4"/>
  <c r="G87" i="4"/>
  <c r="J86" i="4"/>
  <c r="I86" i="4"/>
  <c r="H86" i="4"/>
  <c r="G86" i="4"/>
  <c r="J85" i="4"/>
  <c r="I85" i="4"/>
  <c r="H85" i="4"/>
  <c r="G85" i="4"/>
  <c r="J84" i="4"/>
  <c r="I84" i="4"/>
  <c r="H84" i="4"/>
  <c r="G84" i="4"/>
  <c r="J83" i="4"/>
  <c r="I83" i="4"/>
  <c r="H83" i="4"/>
  <c r="G83" i="4"/>
  <c r="J82" i="4"/>
  <c r="I82" i="4"/>
  <c r="H82" i="4"/>
  <c r="G82" i="4"/>
  <c r="J81" i="4"/>
  <c r="I81" i="4"/>
  <c r="H81" i="4"/>
  <c r="G81" i="4"/>
  <c r="K74" i="4"/>
  <c r="L74" i="4" s="1"/>
  <c r="M74" i="4" s="1"/>
  <c r="N74" i="4" s="1"/>
  <c r="O74" i="4" s="1"/>
  <c r="J48" i="4"/>
  <c r="J55" i="4" s="1"/>
  <c r="J67" i="4" s="1"/>
  <c r="I48" i="4"/>
  <c r="I55" i="4" s="1"/>
  <c r="I67" i="4" s="1"/>
  <c r="H48" i="4"/>
  <c r="H55" i="4" s="1"/>
  <c r="H67" i="4" s="1"/>
  <c r="G48" i="4"/>
  <c r="G55" i="4" s="1"/>
  <c r="G67" i="4" s="1"/>
  <c r="F48" i="4"/>
  <c r="F55" i="4" s="1"/>
  <c r="F67" i="4" s="1"/>
  <c r="K43" i="4"/>
  <c r="K42" i="4"/>
  <c r="J34" i="4"/>
  <c r="J40" i="4" s="1"/>
  <c r="J69" i="4" s="1"/>
  <c r="I34" i="4"/>
  <c r="I40" i="4" s="1"/>
  <c r="H34" i="4"/>
  <c r="H40" i="4" s="1"/>
  <c r="H69" i="4" s="1"/>
  <c r="G34" i="4"/>
  <c r="G40" i="4" s="1"/>
  <c r="G69" i="4" s="1"/>
  <c r="F34" i="4"/>
  <c r="F40" i="4" s="1"/>
  <c r="F69" i="4" s="1"/>
  <c r="K24" i="4"/>
  <c r="L24" i="4" s="1"/>
  <c r="M24" i="4" s="1"/>
  <c r="N24" i="4" s="1"/>
  <c r="O24" i="4" s="1"/>
  <c r="J9" i="4"/>
  <c r="J12" i="4" s="1"/>
  <c r="I9" i="4"/>
  <c r="I12" i="4" s="1"/>
  <c r="H9" i="4"/>
  <c r="H12" i="4" s="1"/>
  <c r="G9" i="4"/>
  <c r="G12" i="4" s="1"/>
  <c r="F9" i="4"/>
  <c r="F12" i="4" s="1"/>
  <c r="K7" i="4"/>
  <c r="K8" i="4" s="1"/>
  <c r="M5" i="4"/>
  <c r="N5" i="4" s="1"/>
  <c r="O5" i="4" s="1"/>
  <c r="L5" i="4"/>
  <c r="K5" i="4"/>
  <c r="L7" i="4" l="1"/>
  <c r="L14" i="4" s="1"/>
  <c r="M112" i="4"/>
  <c r="F115" i="4"/>
  <c r="F116" i="4"/>
  <c r="F15" i="4"/>
  <c r="F19" i="4" s="1"/>
  <c r="K14" i="4"/>
  <c r="K17" i="4"/>
  <c r="H116" i="4"/>
  <c r="H15" i="4"/>
  <c r="H19" i="4" s="1"/>
  <c r="H115" i="4"/>
  <c r="K11" i="4"/>
  <c r="L120" i="4"/>
  <c r="K31" i="4"/>
  <c r="K32" i="4"/>
  <c r="K33" i="4"/>
  <c r="K46" i="4"/>
  <c r="K86" i="4" s="1"/>
  <c r="K47" i="4"/>
  <c r="K87" i="4" s="1"/>
  <c r="I15" i="4"/>
  <c r="I19" i="4" s="1"/>
  <c r="I115" i="4"/>
  <c r="I116" i="4"/>
  <c r="K117" i="4"/>
  <c r="L117" i="4" s="1"/>
  <c r="M117" i="4" s="1"/>
  <c r="L8" i="4"/>
  <c r="L9" i="4" s="1"/>
  <c r="J115" i="4"/>
  <c r="J116" i="4"/>
  <c r="J15" i="4"/>
  <c r="J19" i="4" s="1"/>
  <c r="G116" i="4"/>
  <c r="G15" i="4"/>
  <c r="G19" i="4" s="1"/>
  <c r="G115" i="4"/>
  <c r="K9" i="4"/>
  <c r="K12" i="4" s="1"/>
  <c r="K15" i="4" s="1"/>
  <c r="K19" i="4" s="1"/>
  <c r="I69" i="4"/>
  <c r="N112" i="4"/>
  <c r="O112" i="4" s="1"/>
  <c r="N113" i="4"/>
  <c r="O113" i="4" s="1"/>
  <c r="G103" i="4"/>
  <c r="M114" i="4"/>
  <c r="M120" i="4"/>
  <c r="O120" i="4" s="1"/>
  <c r="M125" i="4"/>
  <c r="L126" i="4"/>
  <c r="L32" i="4" s="1"/>
  <c r="M129" i="4"/>
  <c r="L130" i="4"/>
  <c r="H103" i="4"/>
  <c r="N120" i="4"/>
  <c r="L121" i="4"/>
  <c r="L17" i="4" s="1"/>
  <c r="K124" i="4"/>
  <c r="M126" i="4"/>
  <c r="L127" i="4"/>
  <c r="L33" i="4" s="1"/>
  <c r="K128" i="4"/>
  <c r="I103" i="4"/>
  <c r="F103" i="4"/>
  <c r="J103" i="4"/>
  <c r="L47" i="4" l="1"/>
  <c r="L87" i="4" s="1"/>
  <c r="L46" i="4"/>
  <c r="L31" i="4"/>
  <c r="M7" i="4"/>
  <c r="M46" i="4" s="1"/>
  <c r="M86" i="4" s="1"/>
  <c r="L11" i="4"/>
  <c r="L12" i="4" s="1"/>
  <c r="L15" i="4" s="1"/>
  <c r="L19" i="4" s="1"/>
  <c r="L78" i="4" s="1"/>
  <c r="K45" i="4"/>
  <c r="K30" i="4"/>
  <c r="N126" i="4"/>
  <c r="M127" i="4"/>
  <c r="M33" i="4" s="1"/>
  <c r="M84" i="4" s="1"/>
  <c r="K115" i="4"/>
  <c r="K84" i="4"/>
  <c r="L84" i="4"/>
  <c r="L124" i="4"/>
  <c r="L30" i="4" s="1"/>
  <c r="H118" i="4"/>
  <c r="H119" i="4"/>
  <c r="H78" i="4"/>
  <c r="H89" i="4" s="1"/>
  <c r="F119" i="4"/>
  <c r="F78" i="4"/>
  <c r="F118" i="4"/>
  <c r="G78" i="4"/>
  <c r="G89" i="4" s="1"/>
  <c r="G118" i="4"/>
  <c r="G119" i="4"/>
  <c r="L115" i="4"/>
  <c r="M124" i="4"/>
  <c r="M30" i="4" s="1"/>
  <c r="M14" i="4"/>
  <c r="M8" i="4"/>
  <c r="M9" i="4" s="1"/>
  <c r="N7" i="4"/>
  <c r="M11" i="4"/>
  <c r="I119" i="4"/>
  <c r="I78" i="4"/>
  <c r="I89" i="4" s="1"/>
  <c r="I118" i="4"/>
  <c r="L83" i="4"/>
  <c r="K83" i="4"/>
  <c r="N117" i="4"/>
  <c r="O117" i="4" s="1"/>
  <c r="N124" i="4"/>
  <c r="M130" i="4"/>
  <c r="M47" i="4" s="1"/>
  <c r="M121" i="4"/>
  <c r="O126" i="4"/>
  <c r="N114" i="4"/>
  <c r="O114" i="4" s="1"/>
  <c r="N129" i="4"/>
  <c r="N125" i="4"/>
  <c r="O129" i="4"/>
  <c r="K78" i="4"/>
  <c r="K63" i="4"/>
  <c r="J119" i="4"/>
  <c r="J78" i="4"/>
  <c r="J89" i="4" s="1"/>
  <c r="J118" i="4"/>
  <c r="L86" i="4"/>
  <c r="K116" i="4"/>
  <c r="L128" i="4"/>
  <c r="L45" i="4" s="1"/>
  <c r="L82" i="4"/>
  <c r="K82" i="4"/>
  <c r="N46" i="4" l="1"/>
  <c r="N86" i="4" s="1"/>
  <c r="M87" i="4"/>
  <c r="M32" i="4"/>
  <c r="M83" i="4" s="1"/>
  <c r="M31" i="4"/>
  <c r="M82" i="4" s="1"/>
  <c r="N31" i="4"/>
  <c r="N82" i="4" s="1"/>
  <c r="M12" i="4"/>
  <c r="M15" i="4" s="1"/>
  <c r="L63" i="4"/>
  <c r="M128" i="4"/>
  <c r="M45" i="4" s="1"/>
  <c r="N121" i="4"/>
  <c r="O121" i="4" s="1"/>
  <c r="M17" i="4"/>
  <c r="K119" i="4"/>
  <c r="L119" i="4" s="1"/>
  <c r="M81" i="4"/>
  <c r="N127" i="4"/>
  <c r="K48" i="4"/>
  <c r="K55" i="4" s="1"/>
  <c r="K67" i="4" s="1"/>
  <c r="K85" i="4"/>
  <c r="L48" i="4"/>
  <c r="L55" i="4" s="1"/>
  <c r="L67" i="4" s="1"/>
  <c r="L85" i="4"/>
  <c r="N30" i="4"/>
  <c r="N81" i="4" s="1"/>
  <c r="O128" i="4"/>
  <c r="N128" i="4"/>
  <c r="N45" i="4" s="1"/>
  <c r="N11" i="4"/>
  <c r="N14" i="4"/>
  <c r="N17" i="4"/>
  <c r="N9" i="4"/>
  <c r="N12" i="4" s="1"/>
  <c r="N8" i="4"/>
  <c r="O7" i="4"/>
  <c r="K118" i="4"/>
  <c r="N32" i="4"/>
  <c r="O124" i="4"/>
  <c r="N130" i="4"/>
  <c r="N47" i="4" s="1"/>
  <c r="N87" i="4" s="1"/>
  <c r="N115" i="4"/>
  <c r="O125" i="4"/>
  <c r="M115" i="4"/>
  <c r="L116" i="4"/>
  <c r="M116" i="4" s="1"/>
  <c r="L81" i="4"/>
  <c r="L89" i="4" s="1"/>
  <c r="L100" i="4" s="1"/>
  <c r="K81" i="4"/>
  <c r="K89" i="4" s="1"/>
  <c r="K100" i="4" s="1"/>
  <c r="K103" i="4" s="1"/>
  <c r="K29" i="4" s="1"/>
  <c r="N15" i="4" l="1"/>
  <c r="M19" i="4"/>
  <c r="M78" i="4" s="1"/>
  <c r="O31" i="4"/>
  <c r="O82" i="4" s="1"/>
  <c r="O30" i="4"/>
  <c r="N19" i="4"/>
  <c r="N78" i="4" s="1"/>
  <c r="M119" i="4"/>
  <c r="N119" i="4" s="1"/>
  <c r="L102" i="4"/>
  <c r="L103" i="4" s="1"/>
  <c r="L29" i="4" s="1"/>
  <c r="K34" i="4"/>
  <c r="K40" i="4" s="1"/>
  <c r="K69" i="4" s="1"/>
  <c r="M63" i="4"/>
  <c r="O81" i="4"/>
  <c r="N33" i="4"/>
  <c r="O127" i="4"/>
  <c r="O33" i="4" s="1"/>
  <c r="N116" i="4"/>
  <c r="O116" i="4" s="1"/>
  <c r="O45" i="4"/>
  <c r="M48" i="4"/>
  <c r="M55" i="4" s="1"/>
  <c r="M85" i="4"/>
  <c r="O115" i="4"/>
  <c r="O130" i="4"/>
  <c r="O47" i="4" s="1"/>
  <c r="O87" i="4" s="1"/>
  <c r="N85" i="4"/>
  <c r="N48" i="4"/>
  <c r="N55" i="4" s="1"/>
  <c r="N83" i="4"/>
  <c r="O14" i="4"/>
  <c r="O17" i="4"/>
  <c r="O11" i="4"/>
  <c r="O8" i="4"/>
  <c r="O9" i="4" s="1"/>
  <c r="O46" i="4"/>
  <c r="O86" i="4" s="1"/>
  <c r="L118" i="4"/>
  <c r="O32" i="4"/>
  <c r="O83" i="4" s="1"/>
  <c r="M67" i="4" l="1"/>
  <c r="O12" i="4"/>
  <c r="O15" i="4" s="1"/>
  <c r="O19" i="4" s="1"/>
  <c r="O78" i="4" s="1"/>
  <c r="N63" i="4"/>
  <c r="N67" i="4" s="1"/>
  <c r="M118" i="4"/>
  <c r="O48" i="4"/>
  <c r="O55" i="4" s="1"/>
  <c r="O85" i="4"/>
  <c r="O84" i="4"/>
  <c r="N84" i="4"/>
  <c r="N89" i="4" s="1"/>
  <c r="N100" i="4" s="1"/>
  <c r="O63" i="4"/>
  <c r="O119" i="4"/>
  <c r="L34" i="4"/>
  <c r="L40" i="4" s="1"/>
  <c r="L69" i="4" s="1"/>
  <c r="M102" i="4"/>
  <c r="M89" i="4"/>
  <c r="M100" i="4" s="1"/>
  <c r="N118" i="4"/>
  <c r="O118" i="4" s="1"/>
  <c r="O89" i="4" l="1"/>
  <c r="O100" i="4" s="1"/>
  <c r="O67" i="4"/>
  <c r="M103" i="4"/>
  <c r="M29" i="4" s="1"/>
  <c r="M34" i="4" l="1"/>
  <c r="M40" i="4" s="1"/>
  <c r="M69" i="4" s="1"/>
  <c r="N102" i="4"/>
  <c r="N103" i="4" s="1"/>
  <c r="N29" i="4" s="1"/>
  <c r="N34" i="4" l="1"/>
  <c r="N40" i="4" s="1"/>
  <c r="N69" i="4" s="1"/>
  <c r="O102" i="4"/>
  <c r="O103" i="4" s="1"/>
  <c r="O29" i="4" s="1"/>
  <c r="O34" i="4" s="1"/>
  <c r="O40" i="4" s="1"/>
  <c r="O69" i="4" s="1"/>
</calcChain>
</file>

<file path=xl/comments1.xml><?xml version="1.0" encoding="utf-8"?>
<comments xmlns="http://schemas.openxmlformats.org/spreadsheetml/2006/main">
  <authors>
    <author>21CTL</author>
  </authors>
  <commentList>
    <comment ref="B89" authorId="0">
      <text>
        <r>
          <rPr>
            <sz val="9"/>
            <color indexed="81"/>
            <rFont val="Tahoma"/>
            <family val="2"/>
          </rPr>
          <t xml:space="preserve">Calculated using changes in Current Assets and Current Liabilities. </t>
        </r>
      </text>
    </comment>
  </commentList>
</comments>
</file>

<file path=xl/comments2.xml><?xml version="1.0" encoding="utf-8"?>
<comments xmlns="http://schemas.openxmlformats.org/spreadsheetml/2006/main">
  <authors>
    <author>21CTL</author>
  </authors>
  <commentList>
    <comment ref="G3" authorId="0">
      <text>
        <r>
          <rPr>
            <sz val="9"/>
            <color indexed="81"/>
            <rFont val="Tahoma"/>
            <family val="2"/>
          </rPr>
          <t>Fill this at the start of the month. It's your estimated income for the month</t>
        </r>
      </text>
    </comment>
    <comment ref="G9" authorId="0">
      <text>
        <r>
          <rPr>
            <sz val="9"/>
            <color indexed="81"/>
            <rFont val="Tahoma"/>
            <family val="2"/>
          </rPr>
          <t>Fill this at the end of the month with the actual income for that month</t>
        </r>
      </text>
    </comment>
  </commentList>
</comments>
</file>

<file path=xl/sharedStrings.xml><?xml version="1.0" encoding="utf-8"?>
<sst xmlns="http://schemas.openxmlformats.org/spreadsheetml/2006/main" count="337" uniqueCount="245">
  <si>
    <t>Let's get started…</t>
  </si>
  <si>
    <t>Don't forget to subscribe to our blog,</t>
  </si>
  <si>
    <t>http://blog.urbizedge.com</t>
  </si>
  <si>
    <t>Video 10</t>
  </si>
  <si>
    <t>Business Data Analysis, part 1</t>
  </si>
  <si>
    <t>That's it for this video. The next video is on Business Data Analysis, part 2</t>
  </si>
  <si>
    <t>data, there are some tools you need to be aware of.</t>
  </si>
  <si>
    <t>In this video, I am going to introduce you to basic but important</t>
  </si>
  <si>
    <t>things you should be able to do in Excel. They are the things that</t>
  </si>
  <si>
    <t>1. Linking sheets in Excel</t>
  </si>
  <si>
    <t>2. Duplicating sheets in Excel</t>
  </si>
  <si>
    <t>3. Inserting sheets, labelling and coloring the professional way</t>
  </si>
  <si>
    <t>4. Freezing Panes and splitting windows</t>
  </si>
  <si>
    <t>5. Conditional formatting</t>
  </si>
  <si>
    <t>NESTLE</t>
  </si>
  <si>
    <t>michael@olafusimichael.com</t>
  </si>
  <si>
    <t>x</t>
  </si>
  <si>
    <t>INCOME STATEMENT</t>
  </si>
  <si>
    <t>(NGN in thousands, except per share data)</t>
  </si>
  <si>
    <t>Revenues</t>
  </si>
  <si>
    <t>Cost of goods sold</t>
  </si>
  <si>
    <t>Gross Profit</t>
  </si>
  <si>
    <t>Selling, general &amp; administrative expenses</t>
  </si>
  <si>
    <t>Operating Profit</t>
  </si>
  <si>
    <t>Interest Income, net</t>
  </si>
  <si>
    <t>Earnings before Income taxes</t>
  </si>
  <si>
    <t>Income tax expense</t>
  </si>
  <si>
    <t>NET EARNINGS</t>
  </si>
  <si>
    <t>BALANCE SHEET</t>
  </si>
  <si>
    <t>Assets:</t>
  </si>
  <si>
    <t>Current Assets:</t>
  </si>
  <si>
    <t>Cash and cash equivalents</t>
  </si>
  <si>
    <t>Account receivable</t>
  </si>
  <si>
    <t>Inventories</t>
  </si>
  <si>
    <t>Prepaid expenses and other</t>
  </si>
  <si>
    <t>Deferred taxes</t>
  </si>
  <si>
    <t>Total Current Assets</t>
  </si>
  <si>
    <t>Property, Plant and Equipment, net</t>
  </si>
  <si>
    <t>Intangible assets</t>
  </si>
  <si>
    <t>Other</t>
  </si>
  <si>
    <t>TOTAL ASSETS</t>
  </si>
  <si>
    <t>Liabilities and Stockholders' Equity:</t>
  </si>
  <si>
    <t>Current Liabilities:</t>
  </si>
  <si>
    <t>Bank lines of credit</t>
  </si>
  <si>
    <t>Trade accounts payable</t>
  </si>
  <si>
    <t>Accrued liabilities</t>
  </si>
  <si>
    <t>Total Current Liabilities</t>
  </si>
  <si>
    <t>Borrowings</t>
  </si>
  <si>
    <t>Commitments and Contingencies</t>
  </si>
  <si>
    <t>Other Liabilities</t>
  </si>
  <si>
    <t>TOTAL LIABILITIES</t>
  </si>
  <si>
    <t>Stockholders' Equity:</t>
  </si>
  <si>
    <t>Preferred Stock</t>
  </si>
  <si>
    <t>Class A common stock</t>
  </si>
  <si>
    <t>Revaluation Reserve</t>
  </si>
  <si>
    <t>Additional paid-in capital</t>
  </si>
  <si>
    <t>Treasury stock</t>
  </si>
  <si>
    <t>Retained earnings</t>
  </si>
  <si>
    <t>Foreign currency translation</t>
  </si>
  <si>
    <t>Non-controlling Interest</t>
  </si>
  <si>
    <t>TOTAL LIABILITIES AND S. E.</t>
  </si>
  <si>
    <t>Balance Check</t>
  </si>
  <si>
    <t>STATEMENT OF CASH FLOWS</t>
  </si>
  <si>
    <t>Cash Flows from Operations:</t>
  </si>
  <si>
    <t>Net Income</t>
  </si>
  <si>
    <t>Changes in Net Working Capital:</t>
  </si>
  <si>
    <t>(Increase)/Decrease in Accounts receivable</t>
  </si>
  <si>
    <t>(Increase)/Decrease in Inventory</t>
  </si>
  <si>
    <t>(Increase)/Decrease in Prepaid expenses and other</t>
  </si>
  <si>
    <t>(Increase)/Decrease in Deferred taxes</t>
  </si>
  <si>
    <t>Increase/(Decrease) in Bank lines of credit</t>
  </si>
  <si>
    <t>Increase/(Decrease) in Trade accounts payable</t>
  </si>
  <si>
    <t>Increase/(Decrease) in Accrued liabilities</t>
  </si>
  <si>
    <t>Cash Flows from Operations*</t>
  </si>
  <si>
    <t>Cash Flows from Operating Activities:</t>
  </si>
  <si>
    <t>Increase/(Decrease)</t>
  </si>
  <si>
    <t>Cash Flows from Investing Activities:</t>
  </si>
  <si>
    <t xml:space="preserve">Increase/(Decrease) </t>
  </si>
  <si>
    <t>Cash Flows from Financing Activities:</t>
  </si>
  <si>
    <t>Net Cash Flows</t>
  </si>
  <si>
    <t>Beginning Cash Balance</t>
  </si>
  <si>
    <t>Ending Cash Balance</t>
  </si>
  <si>
    <t>ASSUMPTIONS</t>
  </si>
  <si>
    <t>Income Statement Assumptions:</t>
  </si>
  <si>
    <t>Revenue Growth</t>
  </si>
  <si>
    <t>Cost of goods sold as a % of Rev.</t>
  </si>
  <si>
    <t>SG&amp;A as a % of Rev.</t>
  </si>
  <si>
    <t>Operating Profit Margin</t>
  </si>
  <si>
    <t>ROIC</t>
  </si>
  <si>
    <t>Cash Flow as a % of Rev</t>
  </si>
  <si>
    <t>ROA</t>
  </si>
  <si>
    <t>ROE</t>
  </si>
  <si>
    <t>Interest Income,net as a % of Rev.</t>
  </si>
  <si>
    <t>Income tax expense as a % of Rev.</t>
  </si>
  <si>
    <t>Balance Sheet Assumptions:</t>
  </si>
  <si>
    <t>Accounts receivable as a % of Rev.</t>
  </si>
  <si>
    <t>Inventories as a % of Rev.</t>
  </si>
  <si>
    <t>Prepaid expenses and other as a % of Rev.</t>
  </si>
  <si>
    <t>Deferred taxes as a % of Rev.</t>
  </si>
  <si>
    <t>Bank lines of credit as a % of Rev.</t>
  </si>
  <si>
    <t>Trade accounts payable as a % of Rev.</t>
  </si>
  <si>
    <t>Accrued liabilities as a % of Rev.</t>
  </si>
  <si>
    <t>Family Monthly Budget and Expense Sheet</t>
  </si>
  <si>
    <t>Instructions</t>
  </si>
  <si>
    <t>Budgeted Expense for the Month</t>
  </si>
  <si>
    <t>Actual Expense</t>
  </si>
  <si>
    <r>
      <t>Surplus/</t>
    </r>
    <r>
      <rPr>
        <b/>
        <sz val="9"/>
        <color rgb="FFFF0000"/>
        <rFont val="Calibri"/>
        <family val="2"/>
        <scheme val="minor"/>
      </rPr>
      <t>Deficit</t>
    </r>
  </si>
  <si>
    <t>Projected Monthly Income</t>
  </si>
  <si>
    <t>The Family Budget sheet is very easy to use. 
Just fill in Budgeted Expenses that relate to you. Leave the ones that you find not applicable. I have locked the parts that you that don't have to fill. 
Also fill your Budgeted monthly income, at the start of the month. Then at the end of the month, fill the Actual income for that month. 
You can save a copy of this empty one somewhere, you'll need it for the next month. 
If you need any help don't forget to email mike@urbizedge.com</t>
  </si>
  <si>
    <t>May</t>
  </si>
  <si>
    <t>Income 1</t>
  </si>
  <si>
    <t>Income 2</t>
  </si>
  <si>
    <t>Housing</t>
  </si>
  <si>
    <t>Budgeted Cost</t>
  </si>
  <si>
    <t>Actual Cost</t>
  </si>
  <si>
    <t>Difference</t>
  </si>
  <si>
    <t>Extra income</t>
  </si>
  <si>
    <t>House Rent</t>
  </si>
  <si>
    <t>Total monthly income</t>
  </si>
  <si>
    <t>Business Rent</t>
  </si>
  <si>
    <t>Phone</t>
  </si>
  <si>
    <t>Actual Monthly Income (filled at Month End)</t>
  </si>
  <si>
    <t>Electricity</t>
  </si>
  <si>
    <t>Gas</t>
  </si>
  <si>
    <t>Water and sewer</t>
  </si>
  <si>
    <t>Cable</t>
  </si>
  <si>
    <t>Waste removal</t>
  </si>
  <si>
    <t>Maintenance or repairs</t>
  </si>
  <si>
    <t>Budgeted Income - Budgeted Expense</t>
  </si>
  <si>
    <t>Supplies</t>
  </si>
  <si>
    <t>Actual Income - Actual Expense</t>
  </si>
  <si>
    <t>Total</t>
  </si>
  <si>
    <t>Transportation</t>
  </si>
  <si>
    <t>Projected Cost</t>
  </si>
  <si>
    <t>Loans</t>
  </si>
  <si>
    <t>Vehicle 1 payment</t>
  </si>
  <si>
    <t>Personal</t>
  </si>
  <si>
    <t>Vehicle 2 payment</t>
  </si>
  <si>
    <t>Work</t>
  </si>
  <si>
    <t>Bus/taxi fare</t>
  </si>
  <si>
    <t>Credit card</t>
  </si>
  <si>
    <t>Insurance</t>
  </si>
  <si>
    <t>Licensing</t>
  </si>
  <si>
    <t>Fuel</t>
  </si>
  <si>
    <t>Maintenance</t>
  </si>
  <si>
    <t>Entertainment</t>
  </si>
  <si>
    <t>Video/DVD</t>
  </si>
  <si>
    <t>CDs</t>
  </si>
  <si>
    <t>Home</t>
  </si>
  <si>
    <t>Movies</t>
  </si>
  <si>
    <t>Health</t>
  </si>
  <si>
    <t>Concerts</t>
  </si>
  <si>
    <t>Life</t>
  </si>
  <si>
    <t>Sporting events</t>
  </si>
  <si>
    <t>Live theater</t>
  </si>
  <si>
    <t>Food</t>
  </si>
  <si>
    <t>Groceries</t>
  </si>
  <si>
    <t>Taxes</t>
  </si>
  <si>
    <t>Dining out</t>
  </si>
  <si>
    <t>Federal</t>
  </si>
  <si>
    <t>State</t>
  </si>
  <si>
    <t>Local</t>
  </si>
  <si>
    <t>Children</t>
  </si>
  <si>
    <t>Medical</t>
  </si>
  <si>
    <t>Clothing</t>
  </si>
  <si>
    <t>Personal Care</t>
  </si>
  <si>
    <t>School tuition</t>
  </si>
  <si>
    <t>School supplies</t>
  </si>
  <si>
    <t>Hair/nails</t>
  </si>
  <si>
    <t xml:space="preserve">Organization dues </t>
  </si>
  <si>
    <t>Lunch money</t>
  </si>
  <si>
    <t>Dry cleaning</t>
  </si>
  <si>
    <t>Child care</t>
  </si>
  <si>
    <t>Health club</t>
  </si>
  <si>
    <t>Toys/games</t>
  </si>
  <si>
    <t>Organization dues/fees</t>
  </si>
  <si>
    <t>Legal</t>
  </si>
  <si>
    <t>Pets</t>
  </si>
  <si>
    <t>Attorney</t>
  </si>
  <si>
    <t>Alimony</t>
  </si>
  <si>
    <t>Payments</t>
  </si>
  <si>
    <t>Grooming</t>
  </si>
  <si>
    <t>Toys</t>
  </si>
  <si>
    <t>Savings/Investments</t>
  </si>
  <si>
    <t>Retirement account</t>
  </si>
  <si>
    <t>Gifts and Donations</t>
  </si>
  <si>
    <t>Investment account</t>
  </si>
  <si>
    <t>Charity 1</t>
  </si>
  <si>
    <t>Education</t>
  </si>
  <si>
    <t>Charity 2</t>
  </si>
  <si>
    <t>Charity 3</t>
  </si>
  <si>
    <t>Jan-14</t>
  </si>
  <si>
    <t>Feb-14</t>
  </si>
  <si>
    <t>Mar-14</t>
  </si>
  <si>
    <t>Apr-14</t>
  </si>
  <si>
    <t>May-14</t>
  </si>
  <si>
    <t>Jun-14</t>
  </si>
  <si>
    <t>Abia</t>
  </si>
  <si>
    <t>Adamawa</t>
  </si>
  <si>
    <t>Akwa Ibom</t>
  </si>
  <si>
    <t>Anambra</t>
  </si>
  <si>
    <t>Bauchi</t>
  </si>
  <si>
    <t>Bayelsa</t>
  </si>
  <si>
    <t>Benue</t>
  </si>
  <si>
    <t>Borno</t>
  </si>
  <si>
    <t>Cross River</t>
  </si>
  <si>
    <t>Delta</t>
  </si>
  <si>
    <t>Ebonyi</t>
  </si>
  <si>
    <t>Edo</t>
  </si>
  <si>
    <t>Ekiti</t>
  </si>
  <si>
    <t>Enugu</t>
  </si>
  <si>
    <t>FCT</t>
  </si>
  <si>
    <t>Gombe</t>
  </si>
  <si>
    <t>Imo</t>
  </si>
  <si>
    <t>Jigawa</t>
  </si>
  <si>
    <t>Kaduna</t>
  </si>
  <si>
    <t>Kano</t>
  </si>
  <si>
    <t>Katsina</t>
  </si>
  <si>
    <t>Kebbi</t>
  </si>
  <si>
    <t>Kogi</t>
  </si>
  <si>
    <t>Kwara</t>
  </si>
  <si>
    <t>Lagos</t>
  </si>
  <si>
    <t>Nasarawa</t>
  </si>
  <si>
    <t>Niger</t>
  </si>
  <si>
    <t>Ogun</t>
  </si>
  <si>
    <t>Ondo</t>
  </si>
  <si>
    <t>Plateau</t>
  </si>
  <si>
    <t>Rivers</t>
  </si>
  <si>
    <t>Taraba</t>
  </si>
  <si>
    <t>Yobe</t>
  </si>
  <si>
    <t>Zamfara</t>
  </si>
  <si>
    <t>All States</t>
  </si>
  <si>
    <t>When using Excel to organize or analyse your business operations</t>
  </si>
  <si>
    <t>take you from just an Excel user to a professional Excel user.</t>
  </si>
  <si>
    <t>Sales</t>
  </si>
  <si>
    <t>John</t>
  </si>
  <si>
    <t>Femi</t>
  </si>
  <si>
    <t>Kemi</t>
  </si>
  <si>
    <t>Product A</t>
  </si>
  <si>
    <t>Product B</t>
  </si>
  <si>
    <t>Product C</t>
  </si>
  <si>
    <t>Target</t>
  </si>
  <si>
    <t>Osun</t>
  </si>
  <si>
    <t>Oyo</t>
  </si>
  <si>
    <t>Sokoto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</si>
</sst>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N-46A]\ #,##0"/>
    <numFmt numFmtId="165" formatCode="_(* #,##0_);_(* \(#,##0\);_(* &quot;-&quot;??_);_(@_)"/>
    <numFmt numFmtId="166" formatCode="0.000000"/>
    <numFmt numFmtId="167" formatCode="[$NGN]\ #,##0_);[Red]\([$NGN]\ #,##0\)"/>
    <numFmt numFmtId="168" formatCode="[$NGN]\ #,##0"/>
    <numFmt numFmtId="169" formatCode="[$₦-46A]\ #,##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1"/>
      <color theme="0"/>
      <name val="Calibri"/>
      <family val="2"/>
      <scheme val="minor"/>
    </font>
    <font>
      <b/>
      <sz val="11"/>
      <color theme="1"/>
      <name val="Calibri"/>
      <family val="2"/>
      <scheme val="minor"/>
    </font>
    <font>
      <sz val="11"/>
      <color theme="0"/>
      <name val="Calibri"/>
      <family val="2"/>
      <scheme val="minor"/>
    </font>
    <font>
      <b/>
      <sz val="14"/>
      <color rgb="FF7030A0"/>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b/>
      <sz val="15"/>
      <color theme="1"/>
      <name val="Calibri"/>
      <family val="2"/>
      <scheme val="minor"/>
    </font>
    <font>
      <i/>
      <sz val="8"/>
      <color theme="1"/>
      <name val="Calibri"/>
      <family val="2"/>
      <scheme val="minor"/>
    </font>
    <font>
      <sz val="11"/>
      <color rgb="FF0070C0"/>
      <name val="Calibri"/>
      <family val="2"/>
      <scheme val="minor"/>
    </font>
    <font>
      <i/>
      <sz val="11"/>
      <color theme="1"/>
      <name val="Calibri"/>
      <family val="2"/>
      <scheme val="minor"/>
    </font>
    <font>
      <sz val="9"/>
      <color indexed="81"/>
      <name val="Tahoma"/>
      <family val="2"/>
    </font>
    <font>
      <sz val="16"/>
      <name val="Cambria"/>
      <family val="2"/>
      <scheme val="major"/>
    </font>
    <font>
      <b/>
      <sz val="12"/>
      <name val="Cambria"/>
      <family val="2"/>
      <scheme val="major"/>
    </font>
    <font>
      <sz val="10"/>
      <name val="Calibri"/>
      <family val="2"/>
      <scheme val="minor"/>
    </font>
    <font>
      <b/>
      <sz val="9"/>
      <color theme="0"/>
      <name val="Calibri"/>
      <family val="2"/>
      <scheme val="minor"/>
    </font>
    <font>
      <b/>
      <sz val="9"/>
      <color rgb="FFFF0000"/>
      <name val="Calibri"/>
      <family val="2"/>
      <scheme val="minor"/>
    </font>
    <font>
      <sz val="8"/>
      <name val="Calibri"/>
      <family val="2"/>
      <scheme val="minor"/>
    </font>
    <font>
      <b/>
      <sz val="8"/>
      <name val="Calibri"/>
      <family val="2"/>
      <scheme val="minor"/>
    </font>
    <font>
      <sz val="10"/>
      <name val="Calibri"/>
      <family val="1"/>
      <scheme val="minor"/>
    </font>
    <font>
      <b/>
      <sz val="10"/>
      <name val="Calibri"/>
      <family val="1"/>
      <scheme val="minor"/>
    </font>
    <font>
      <sz val="8"/>
      <name val="Calibri"/>
      <family val="1"/>
      <scheme val="minor"/>
    </font>
    <font>
      <b/>
      <i/>
      <sz val="10"/>
      <name val="Calibri"/>
      <family val="1"/>
      <scheme val="minor"/>
    </font>
    <font>
      <sz val="10"/>
      <color theme="1"/>
      <name val="Calibri"/>
      <family val="1"/>
      <scheme val="minor"/>
    </font>
    <font>
      <b/>
      <sz val="10"/>
      <name val="Calibri"/>
      <family val="2"/>
      <scheme val="minor"/>
    </font>
  </fonts>
  <fills count="7">
    <fill>
      <patternFill patternType="none"/>
    </fill>
    <fill>
      <patternFill patternType="gray125"/>
    </fill>
    <fill>
      <patternFill patternType="solid">
        <fgColor theme="9" tint="0.79998168889431442"/>
        <bgColor indexed="65"/>
      </patternFill>
    </fill>
    <fill>
      <patternFill patternType="solid">
        <fgColor theme="8" tint="0.59999389629810485"/>
        <bgColor indexed="64"/>
      </patternFill>
    </fill>
    <fill>
      <patternFill patternType="solid">
        <fgColor theme="0"/>
      </patternFill>
    </fill>
    <fill>
      <patternFill patternType="solid">
        <fgColor theme="4"/>
        <bgColor theme="5"/>
      </patternFill>
    </fill>
    <fill>
      <patternFill patternType="solid">
        <fgColor theme="6"/>
        <bgColor theme="6"/>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4"/>
      </left>
      <right/>
      <top style="thin">
        <color theme="4"/>
      </top>
      <bottom style="thin">
        <color theme="0"/>
      </bottom>
      <diagonal/>
    </border>
    <border>
      <left/>
      <right/>
      <top style="thin">
        <color theme="4"/>
      </top>
      <bottom style="thin">
        <color theme="0"/>
      </bottom>
      <diagonal/>
    </border>
    <border>
      <left/>
      <right style="thin">
        <color theme="4"/>
      </right>
      <top style="thin">
        <color theme="4"/>
      </top>
      <bottom style="thin">
        <color theme="0"/>
      </bottom>
      <diagonal/>
    </border>
    <border>
      <left style="thin">
        <color theme="4"/>
      </left>
      <right/>
      <top style="thin">
        <color theme="0"/>
      </top>
      <bottom style="thin">
        <color theme="4"/>
      </bottom>
      <diagonal/>
    </border>
    <border>
      <left/>
      <right/>
      <top style="thin">
        <color theme="0"/>
      </top>
      <bottom style="thin">
        <color theme="4"/>
      </bottom>
      <diagonal/>
    </border>
    <border>
      <left style="thin">
        <color theme="4"/>
      </left>
      <right/>
      <top style="thin">
        <color theme="0"/>
      </top>
      <bottom style="thin">
        <color theme="0"/>
      </bottom>
      <diagonal/>
    </border>
    <border>
      <left/>
      <right style="thin">
        <color theme="4"/>
      </right>
      <top style="thin">
        <color theme="0"/>
      </top>
      <bottom style="thin">
        <color theme="0"/>
      </bottom>
      <diagonal/>
    </border>
    <border>
      <left/>
      <right style="thin">
        <color theme="4"/>
      </right>
      <top style="thin">
        <color theme="0"/>
      </top>
      <bottom style="thin">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18" fillId="0" borderId="0"/>
    <xf numFmtId="44" fontId="1" fillId="0" borderId="0" applyFont="0" applyFill="0" applyBorder="0" applyAlignment="0" applyProtection="0"/>
  </cellStyleXfs>
  <cellXfs count="99">
    <xf numFmtId="0" fontId="0" fillId="0" borderId="0" xfId="0"/>
    <xf numFmtId="0" fontId="6" fillId="0" borderId="0" xfId="0" applyFont="1"/>
    <xf numFmtId="0" fontId="7" fillId="0" borderId="0" xfId="0" applyFont="1"/>
    <xf numFmtId="0" fontId="8" fillId="0" borderId="0" xfId="0" applyFont="1"/>
    <xf numFmtId="0" fontId="10" fillId="0" borderId="0" xfId="4" applyFont="1"/>
    <xf numFmtId="0" fontId="11" fillId="0" borderId="1" xfId="0" applyFont="1" applyBorder="1"/>
    <xf numFmtId="0" fontId="0" fillId="0" borderId="1" xfId="0" applyBorder="1"/>
    <xf numFmtId="0" fontId="4" fillId="0" borderId="1" xfId="0" applyFont="1" applyBorder="1"/>
    <xf numFmtId="0" fontId="0" fillId="0" borderId="2" xfId="0" applyBorder="1"/>
    <xf numFmtId="0" fontId="12" fillId="0" borderId="1" xfId="0" applyFont="1" applyBorder="1"/>
    <xf numFmtId="164" fontId="13" fillId="0" borderId="0" xfId="0" applyNumberFormat="1" applyFont="1"/>
    <xf numFmtId="164" fontId="0" fillId="0" borderId="0" xfId="0" applyNumberFormat="1"/>
    <xf numFmtId="165" fontId="13" fillId="0" borderId="1" xfId="1" applyNumberFormat="1" applyFont="1" applyBorder="1"/>
    <xf numFmtId="165" fontId="0" fillId="0" borderId="1" xfId="1" applyNumberFormat="1" applyFont="1" applyBorder="1"/>
    <xf numFmtId="0" fontId="0" fillId="0" borderId="0" xfId="0" applyAlignment="1">
      <alignment horizontal="left" indent="1"/>
    </xf>
    <xf numFmtId="165" fontId="0" fillId="0" borderId="0" xfId="1" applyNumberFormat="1" applyFont="1"/>
    <xf numFmtId="165" fontId="13" fillId="0" borderId="0" xfId="1" applyNumberFormat="1" applyFont="1"/>
    <xf numFmtId="0" fontId="4" fillId="3" borderId="3" xfId="0" applyFont="1" applyFill="1" applyBorder="1"/>
    <xf numFmtId="0" fontId="0" fillId="3" borderId="2" xfId="0" applyFill="1" applyBorder="1"/>
    <xf numFmtId="164" fontId="0" fillId="3" borderId="2" xfId="0" applyNumberFormat="1" applyFill="1" applyBorder="1"/>
    <xf numFmtId="164" fontId="0" fillId="0" borderId="1" xfId="0" applyNumberFormat="1" applyBorder="1"/>
    <xf numFmtId="0" fontId="4" fillId="0" borderId="0" xfId="0" applyFont="1"/>
    <xf numFmtId="0" fontId="14" fillId="0" borderId="0" xfId="0" applyFont="1"/>
    <xf numFmtId="165" fontId="0" fillId="0" borderId="0" xfId="1" applyNumberFormat="1" applyFont="1" applyBorder="1"/>
    <xf numFmtId="0" fontId="13" fillId="0" borderId="0" xfId="0" applyFont="1"/>
    <xf numFmtId="165" fontId="13" fillId="0" borderId="0" xfId="1" applyNumberFormat="1" applyFont="1" applyFill="1" applyBorder="1"/>
    <xf numFmtId="166" fontId="0" fillId="0" borderId="0" xfId="0" applyNumberFormat="1" applyFont="1"/>
    <xf numFmtId="165" fontId="0" fillId="0" borderId="0" xfId="0" applyNumberFormat="1"/>
    <xf numFmtId="0" fontId="4" fillId="3" borderId="2" xfId="0" applyFont="1" applyFill="1" applyBorder="1"/>
    <xf numFmtId="164" fontId="4" fillId="3" borderId="2" xfId="0" applyNumberFormat="1" applyFont="1" applyFill="1" applyBorder="1"/>
    <xf numFmtId="10" fontId="13" fillId="0" borderId="0" xfId="2" applyNumberFormat="1" applyFont="1"/>
    <xf numFmtId="10" fontId="0" fillId="0" borderId="0" xfId="2" applyNumberFormat="1" applyFont="1"/>
    <xf numFmtId="0" fontId="17" fillId="4" borderId="0" xfId="3" applyFont="1" applyFill="1" applyBorder="1" applyAlignment="1" applyProtection="1">
      <alignment horizontal="left" wrapText="1"/>
    </xf>
    <xf numFmtId="0" fontId="18" fillId="0" borderId="0" xfId="5" applyProtection="1"/>
    <xf numFmtId="0" fontId="18" fillId="0" borderId="0" xfId="5" applyAlignment="1" applyProtection="1">
      <alignment vertical="center" wrapText="1"/>
    </xf>
    <xf numFmtId="0" fontId="19" fillId="5" borderId="5" xfId="5" applyFont="1" applyFill="1" applyBorder="1" applyAlignment="1" applyProtection="1">
      <alignment horizontal="right" vertical="center" wrapText="1"/>
    </xf>
    <xf numFmtId="0" fontId="19" fillId="5" borderId="6" xfId="5" applyFont="1" applyFill="1" applyBorder="1" applyAlignment="1" applyProtection="1">
      <alignment horizontal="right" vertical="center" wrapText="1"/>
    </xf>
    <xf numFmtId="0" fontId="21" fillId="0" borderId="0" xfId="5" applyFont="1" applyFill="1" applyBorder="1" applyAlignment="1" applyProtection="1">
      <alignment vertical="center" wrapText="1"/>
    </xf>
    <xf numFmtId="0" fontId="22" fillId="2" borderId="7" xfId="5" applyFont="1" applyFill="1" applyBorder="1" applyAlignment="1" applyProtection="1">
      <alignment vertical="center" wrapText="1"/>
      <protection locked="0"/>
    </xf>
    <xf numFmtId="167" fontId="22" fillId="2" borderId="8" xfId="5" applyNumberFormat="1" applyFont="1" applyFill="1" applyBorder="1" applyAlignment="1" applyProtection="1">
      <alignment vertical="center" wrapText="1"/>
    </xf>
    <xf numFmtId="0" fontId="22" fillId="2" borderId="9" xfId="5" applyFont="1" applyFill="1" applyBorder="1" applyAlignment="1" applyProtection="1">
      <alignment horizontal="left" vertical="center" wrapText="1"/>
    </xf>
    <xf numFmtId="167" fontId="21" fillId="2" borderId="10" xfId="5" applyNumberFormat="1" applyFont="1" applyFill="1" applyBorder="1" applyAlignment="1" applyProtection="1">
      <alignment vertical="center" wrapText="1"/>
      <protection locked="0"/>
    </xf>
    <xf numFmtId="0" fontId="23" fillId="0" borderId="0" xfId="5" applyFont="1" applyFill="1" applyBorder="1" applyAlignment="1" applyProtection="1">
      <alignment vertical="center" wrapText="1"/>
    </xf>
    <xf numFmtId="0" fontId="24" fillId="0" borderId="0" xfId="5" applyFont="1" applyFill="1" applyBorder="1" applyAlignment="1" applyProtection="1">
      <alignment horizontal="left" vertical="center" wrapText="1"/>
    </xf>
    <xf numFmtId="0" fontId="24" fillId="0" borderId="0" xfId="5" applyFont="1" applyFill="1" applyBorder="1" applyAlignment="1" applyProtection="1">
      <alignment horizontal="center" vertical="center" wrapText="1"/>
    </xf>
    <xf numFmtId="168" fontId="23" fillId="0" borderId="0" xfId="5" applyNumberFormat="1" applyFont="1" applyFill="1" applyBorder="1" applyAlignment="1" applyProtection="1">
      <alignment vertical="center" wrapText="1"/>
      <protection locked="0"/>
    </xf>
    <xf numFmtId="168" fontId="23" fillId="0" borderId="0" xfId="5" applyNumberFormat="1" applyFont="1" applyFill="1" applyBorder="1" applyAlignment="1" applyProtection="1">
      <alignment vertical="center" wrapText="1"/>
    </xf>
    <xf numFmtId="0" fontId="22" fillId="2" borderId="7" xfId="5" applyFont="1" applyFill="1" applyBorder="1" applyAlignment="1" applyProtection="1">
      <alignment horizontal="left" vertical="center" wrapText="1"/>
    </xf>
    <xf numFmtId="167" fontId="21" fillId="2" borderId="11" xfId="5" applyNumberFormat="1" applyFont="1" applyFill="1" applyBorder="1" applyAlignment="1" applyProtection="1">
      <alignment vertical="center" wrapText="1"/>
    </xf>
    <xf numFmtId="0" fontId="21" fillId="0" borderId="0" xfId="5" applyFont="1" applyAlignment="1" applyProtection="1">
      <alignment horizontal="left" vertical="center" wrapText="1"/>
    </xf>
    <xf numFmtId="0" fontId="21" fillId="0" borderId="0" xfId="5" applyFont="1" applyAlignment="1" applyProtection="1">
      <alignment vertical="center" wrapText="1"/>
    </xf>
    <xf numFmtId="168" fontId="25" fillId="0" borderId="0" xfId="5" applyNumberFormat="1" applyFont="1" applyFill="1" applyBorder="1" applyAlignment="1" applyProtection="1">
      <alignment vertical="center" wrapText="1"/>
    </xf>
    <xf numFmtId="0" fontId="19" fillId="5" borderId="4" xfId="5" applyFont="1" applyFill="1" applyBorder="1" applyAlignment="1" applyProtection="1">
      <alignment horizontal="left" vertical="top" wrapText="1"/>
    </xf>
    <xf numFmtId="167" fontId="22" fillId="2" borderId="6" xfId="5" applyNumberFormat="1" applyFont="1" applyFill="1" applyBorder="1" applyAlignment="1" applyProtection="1">
      <alignment vertical="center" wrapText="1"/>
    </xf>
    <xf numFmtId="0" fontId="19" fillId="5" borderId="9" xfId="5" applyFont="1" applyFill="1" applyBorder="1" applyAlignment="1" applyProtection="1">
      <alignment horizontal="left" vertical="center" wrapText="1"/>
    </xf>
    <xf numFmtId="167" fontId="22" fillId="2" borderId="10" xfId="5" applyNumberFormat="1" applyFont="1" applyFill="1" applyBorder="1" applyAlignment="1" applyProtection="1">
      <alignment vertical="center" wrapText="1"/>
    </xf>
    <xf numFmtId="0" fontId="19" fillId="5" borderId="7" xfId="5" applyFont="1" applyFill="1" applyBorder="1" applyAlignment="1" applyProtection="1">
      <alignment horizontal="left" vertical="center" wrapText="1"/>
    </xf>
    <xf numFmtId="167" fontId="22" fillId="2" borderId="11" xfId="5" applyNumberFormat="1" applyFont="1" applyFill="1" applyBorder="1" applyAlignment="1" applyProtection="1">
      <alignment vertical="center" wrapText="1"/>
    </xf>
    <xf numFmtId="0" fontId="18" fillId="0" borderId="0" xfId="5" applyNumberFormat="1" applyFont="1" applyFill="1" applyAlignment="1" applyProtection="1">
      <alignment vertical="center" wrapText="1"/>
    </xf>
    <xf numFmtId="167" fontId="18" fillId="0" borderId="0" xfId="5" applyNumberFormat="1" applyFont="1" applyFill="1" applyAlignment="1" applyProtection="1">
      <alignment vertical="center" wrapText="1"/>
    </xf>
    <xf numFmtId="0" fontId="18" fillId="0" borderId="0" xfId="5" applyNumberFormat="1" applyAlignment="1" applyProtection="1">
      <alignment vertical="center"/>
    </xf>
    <xf numFmtId="0" fontId="23" fillId="0" borderId="0" xfId="5" applyNumberFormat="1" applyFont="1" applyFill="1" applyBorder="1" applyAlignment="1" applyProtection="1">
      <alignment horizontal="center" vertical="center" wrapText="1"/>
    </xf>
    <xf numFmtId="0" fontId="24" fillId="0" borderId="0" xfId="5" applyNumberFormat="1" applyFont="1" applyAlignment="1" applyProtection="1">
      <alignment vertical="center" wrapText="1"/>
    </xf>
    <xf numFmtId="0" fontId="24" fillId="0" borderId="0" xfId="5" applyNumberFormat="1" applyFont="1" applyAlignment="1" applyProtection="1">
      <alignment horizontal="center" vertical="center" wrapText="1"/>
    </xf>
    <xf numFmtId="0" fontId="23" fillId="0" borderId="0" xfId="5" applyFont="1" applyAlignment="1" applyProtection="1">
      <alignment vertical="center" wrapText="1"/>
    </xf>
    <xf numFmtId="168" fontId="23" fillId="0" borderId="0" xfId="5" applyNumberFormat="1" applyFont="1" applyAlignment="1" applyProtection="1">
      <alignment vertical="center" wrapText="1"/>
      <protection locked="0"/>
    </xf>
    <xf numFmtId="168" fontId="23" fillId="0" borderId="0" xfId="5" applyNumberFormat="1" applyFont="1" applyAlignment="1" applyProtection="1">
      <alignment vertical="center" wrapText="1"/>
    </xf>
    <xf numFmtId="0" fontId="18" fillId="0" borderId="0" xfId="5" applyNumberFormat="1" applyFont="1" applyAlignment="1" applyProtection="1">
      <alignment vertical="center" wrapText="1"/>
    </xf>
    <xf numFmtId="167" fontId="18" fillId="0" borderId="0" xfId="5" applyNumberFormat="1" applyFont="1" applyAlignment="1" applyProtection="1">
      <alignment vertical="center" wrapText="1"/>
    </xf>
    <xf numFmtId="0" fontId="23" fillId="0" borderId="0" xfId="5" applyNumberFormat="1" applyFont="1" applyFill="1" applyBorder="1" applyAlignment="1" applyProtection="1">
      <alignment vertical="center" wrapText="1"/>
    </xf>
    <xf numFmtId="0" fontId="24" fillId="0" borderId="0" xfId="5" applyNumberFormat="1" applyFont="1" applyFill="1" applyBorder="1" applyAlignment="1" applyProtection="1">
      <alignment horizontal="center" vertical="center" wrapText="1"/>
    </xf>
    <xf numFmtId="0" fontId="24" fillId="0" borderId="0" xfId="5" applyNumberFormat="1" applyFont="1" applyFill="1" applyBorder="1" applyAlignment="1" applyProtection="1">
      <alignment horizontal="left" vertical="center" wrapText="1"/>
    </xf>
    <xf numFmtId="0" fontId="24" fillId="0" borderId="0" xfId="5" applyNumberFormat="1" applyFont="1" applyFill="1" applyBorder="1" applyAlignment="1" applyProtection="1">
      <alignment vertical="center" wrapText="1"/>
    </xf>
    <xf numFmtId="0" fontId="24" fillId="0" borderId="0" xfId="5" applyNumberFormat="1" applyFont="1" applyAlignment="1" applyProtection="1">
      <alignment horizontal="left" vertical="center" wrapText="1"/>
    </xf>
    <xf numFmtId="0" fontId="27" fillId="0" borderId="0" xfId="5" applyFont="1" applyAlignment="1" applyProtection="1">
      <alignment vertical="center" wrapText="1"/>
    </xf>
    <xf numFmtId="0" fontId="18" fillId="0" borderId="0" xfId="5" applyNumberFormat="1" applyAlignment="1" applyProtection="1">
      <alignment vertical="center" wrapText="1"/>
    </xf>
    <xf numFmtId="169" fontId="0" fillId="0" borderId="13" xfId="0" applyNumberFormat="1" applyFont="1" applyBorder="1"/>
    <xf numFmtId="0" fontId="3" fillId="6" borderId="14" xfId="0" applyFont="1" applyFill="1" applyBorder="1"/>
    <xf numFmtId="17" fontId="3" fillId="6" borderId="14" xfId="0" applyNumberFormat="1" applyFont="1" applyFill="1" applyBorder="1"/>
    <xf numFmtId="17" fontId="3" fillId="6" borderId="13" xfId="0" applyNumberFormat="1" applyFont="1" applyFill="1" applyBorder="1"/>
    <xf numFmtId="0" fontId="0" fillId="0" borderId="14" xfId="0" applyFont="1" applyBorder="1"/>
    <xf numFmtId="169" fontId="0" fillId="0" borderId="14" xfId="0" applyNumberFormat="1" applyFont="1" applyBorder="1"/>
    <xf numFmtId="0" fontId="4" fillId="0" borderId="3" xfId="0" applyFont="1" applyBorder="1"/>
    <xf numFmtId="169" fontId="4" fillId="0" borderId="3" xfId="0" applyNumberFormat="1" applyFont="1" applyBorder="1"/>
    <xf numFmtId="169" fontId="4" fillId="0" borderId="12" xfId="0" applyNumberFormat="1" applyFont="1" applyBorder="1"/>
    <xf numFmtId="0" fontId="9" fillId="0" borderId="0" xfId="4"/>
    <xf numFmtId="0" fontId="5" fillId="0" borderId="0" xfId="0" applyFont="1"/>
    <xf numFmtId="0" fontId="0" fillId="0" borderId="12" xfId="0" applyBorder="1"/>
    <xf numFmtId="0" fontId="18" fillId="0" borderId="12" xfId="5" applyBorder="1" applyProtection="1"/>
    <xf numFmtId="0" fontId="28" fillId="0" borderId="12" xfId="5" applyFont="1" applyBorder="1" applyProtection="1"/>
    <xf numFmtId="0" fontId="26" fillId="0" borderId="0" xfId="5" applyFont="1" applyFill="1" applyBorder="1" applyAlignment="1" applyProtection="1">
      <alignment vertical="center" wrapText="1"/>
    </xf>
    <xf numFmtId="0" fontId="18" fillId="0" borderId="0" xfId="5" applyFont="1" applyFill="1" applyAlignment="1" applyProtection="1">
      <alignment vertical="center" wrapText="1"/>
    </xf>
    <xf numFmtId="0" fontId="18" fillId="0" borderId="0" xfId="5" applyAlignment="1" applyProtection="1">
      <alignment vertical="center" wrapText="1"/>
    </xf>
    <xf numFmtId="0" fontId="16" fillId="4" borderId="0" xfId="3" applyFont="1" applyFill="1" applyBorder="1" applyAlignment="1" applyProtection="1">
      <alignment horizontal="left"/>
    </xf>
    <xf numFmtId="0" fontId="19" fillId="5" borderId="4" xfId="5" applyFont="1" applyFill="1" applyBorder="1" applyAlignment="1" applyProtection="1">
      <alignment horizontal="right" vertical="center" wrapText="1"/>
    </xf>
    <xf numFmtId="0" fontId="19" fillId="5" borderId="5" xfId="5" applyFont="1" applyFill="1" applyBorder="1" applyAlignment="1" applyProtection="1">
      <alignment horizontal="right" vertical="center" wrapText="1"/>
    </xf>
    <xf numFmtId="0" fontId="19" fillId="5" borderId="4" xfId="5" applyFont="1" applyFill="1" applyBorder="1" applyAlignment="1" applyProtection="1">
      <alignment horizontal="left" vertical="center" wrapText="1"/>
    </xf>
    <xf numFmtId="0" fontId="19" fillId="5" borderId="6" xfId="5" applyFont="1" applyFill="1" applyBorder="1" applyAlignment="1" applyProtection="1">
      <alignment horizontal="left" vertical="center" wrapText="1"/>
    </xf>
    <xf numFmtId="0" fontId="21" fillId="0" borderId="0" xfId="5" applyFont="1" applyFill="1" applyBorder="1" applyAlignment="1" applyProtection="1">
      <alignment horizontal="left" vertical="top" wrapText="1" indent="3"/>
    </xf>
  </cellXfs>
  <cellStyles count="7">
    <cellStyle name="Comma" xfId="1" builtinId="3"/>
    <cellStyle name="Currency 2" xfId="6"/>
    <cellStyle name="Hyperlink" xfId="4" builtinId="8"/>
    <cellStyle name="Normal" xfId="0" builtinId="0"/>
    <cellStyle name="Normal 2" xfId="5"/>
    <cellStyle name="Percent" xfId="2" builtinId="5"/>
    <cellStyle name="Title" xfId="3" builtinId="15"/>
  </cellStyles>
  <dxfs count="149">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1" 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1" formatCode="\$#,##0"/>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1" 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alignment horizontal="general" vertical="center" textRotation="0" wrapText="1" relativeIndent="0" justifyLastLine="0" shrinkToFit="0" readingOrder="0"/>
      <protection locked="1" hidden="0"/>
    </dxf>
    <dxf>
      <numFmt numFmtId="168" formatCode="[$NGN]\ #,##0"/>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numFmt numFmtId="0" formatCode="General"/>
      <alignment vertical="center" textRotation="0" wrapText="0" relativeIndent="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0" formatCode="&quot;$&quot;#,##0_);[Red]\(&quot;$&quot;#,##0\)"/>
      <fill>
        <patternFill patternType="none">
          <fgColor indexed="64"/>
          <bgColor indexed="65"/>
        </patternFill>
      </fill>
      <alignment horizontal="general" vertical="center" textRotation="0" wrapText="1" relative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relative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color auto="1"/>
        <name val="Calibri"/>
        <scheme val="minor"/>
      </font>
      <alignment horizontal="general" vertical="center" textRotation="0" wrapText="0" relativeIndent="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general" vertical="center" textRotation="0" wrapText="1" indent="0" justifyLastLine="0" shrinkToFit="0" readingOrder="0"/>
      <protection locked="1" hidden="0"/>
    </dxf>
    <dxf>
      <font>
        <u val="none"/>
        <vertAlign val="baseline"/>
        <sz val="10"/>
        <name val="Calibri"/>
        <scheme val="minor"/>
      </font>
      <numFmt numFmtId="171" formatCode="\$#,##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1"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167" formatCode="[$NGN]\ #,##0_);[Red]\([$NGN]\ #,##0\)"/>
      <fill>
        <patternFill patternType="none">
          <fgColor indexed="64"/>
          <bgColor indexed="65"/>
        </patternFill>
      </fill>
      <alignment horizontal="general" vertical="center" textRotation="0" wrapText="1" indent="0" justifyLastLine="0" shrinkToFit="0" readingOrder="0"/>
      <protection locked="1" hidden="0"/>
    </dxf>
    <dxf>
      <numFmt numFmtId="168" formatCode="[$NGN]\ #,##0"/>
      <alignment horizontal="general" vertical="center" textRotation="0" wrapText="0" relativeIndent="0" justifyLastLine="0" shrinkToFit="0" readingOrder="0"/>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protection locked="1" hidden="0"/>
    </dxf>
    <dxf>
      <alignment vertical="center" textRotation="0" justifyLastLine="0" shrinkToFit="0" readingOrder="0"/>
      <protection locked="1" hidden="0"/>
    </dxf>
    <dxf>
      <numFmt numFmtId="170" formatCode="\$#,##0_);[Red]\(\$#,##0\)"/>
      <alignment horizontal="general" vertical="center" textRotation="0" wrapText="1" indent="0" justifyLastLine="0" shrinkToFit="0" readingOrder="0"/>
      <protection locked="1" hidden="0"/>
    </dxf>
    <dxf>
      <font>
        <u val="none"/>
        <vertAlign val="baseline"/>
        <sz val="10"/>
        <name val="Calibri"/>
        <scheme val="minor"/>
      </font>
      <numFmt numFmtId="170" formatCode="\$#,##0_);[Red]\(\$#,##0\)"/>
      <fill>
        <patternFill patternType="none">
          <fgColor indexed="64"/>
          <bgColor indexed="65"/>
        </patternFill>
      </fill>
      <alignment horizontal="general" vertical="center" textRotation="0" wrapText="1" indent="0" justifyLastLine="0" shrinkToFit="0" readingOrder="0"/>
      <protection locked="1" hidden="0"/>
    </dxf>
    <dxf>
      <font>
        <b/>
        <u val="none"/>
        <vertAlign val="baseline"/>
        <sz val="10"/>
        <name val="Calibri"/>
        <scheme val="minor"/>
      </font>
      <fill>
        <patternFill patternType="none">
          <fgColor indexed="64"/>
          <bgColor indexed="65"/>
        </patternFill>
      </fill>
      <alignment horizontal="center" vertical="center" textRotation="0" wrapText="1" indent="0" justifyLastLine="0" shrinkToFit="0" readingOrder="0"/>
      <protection locked="1" hidden="0"/>
    </dxf>
    <dxf>
      <fill>
        <patternFill>
          <bgColor theme="4" tint="0.79998168889431442"/>
        </patternFill>
      </fill>
    </dxf>
    <dxf>
      <font>
        <sz val="9"/>
        <color theme="0"/>
      </font>
      <fill>
        <patternFill>
          <bgColor theme="4"/>
        </patternFill>
      </fill>
      <border diagonalUp="0" diagonalDown="0">
        <left style="thin">
          <color theme="4"/>
        </left>
        <right style="thin">
          <color theme="4"/>
        </right>
        <top style="double">
          <color theme="0"/>
        </top>
        <bottom style="thin">
          <color theme="4"/>
        </bottom>
        <vertical/>
        <horizontal/>
      </border>
    </dxf>
    <dxf>
      <font>
        <sz val="9"/>
        <color theme="0"/>
      </font>
      <fill>
        <patternFill>
          <bgColor theme="4"/>
        </patternFill>
      </fill>
      <border diagonalUp="0" diagonalDown="0">
        <bottom style="thin">
          <color theme="0"/>
        </bottom>
      </border>
    </dxf>
    <dxf>
      <font>
        <sz val="8"/>
      </font>
      <border diagonalUp="0" diagonalDown="0">
        <left style="thin">
          <color theme="4"/>
        </left>
        <right style="thin">
          <color theme="4"/>
        </right>
        <top style="thin">
          <color theme="4"/>
        </top>
        <bottom style="thin">
          <color theme="4"/>
        </bottom>
        <vertical/>
        <horizontal/>
      </border>
    </dxf>
  </dxfs>
  <tableStyles count="1" defaultTableStyle="TableStyleMedium2" defaultPivotStyle="PivotStyleLight16">
    <tableStyle name="Table Style 1" pivot="0" count="4">
      <tableStyleElement type="wholeTable" dxfId="148"/>
      <tableStyleElement type="headerRow" dxfId="147"/>
      <tableStyleElement type="totalRow" dxfId="146"/>
      <tableStyleElement type="firstRowStripe" dxfId="14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Dashboard!$H$3</c:f>
          <c:strCache>
            <c:ptCount val="1"/>
            <c:pt idx="0">
              <c:v>Abia -- 2014 Half Year Revenue</c:v>
            </c:pt>
          </c:strCache>
        </c:strRef>
      </c:tx>
      <c:layout/>
      <c:overlay val="0"/>
    </c:title>
    <c:autoTitleDeleted val="0"/>
    <c:view3D>
      <c:rotX val="15"/>
      <c:rotY val="20"/>
      <c:rAngAx val="1"/>
    </c:view3D>
    <c:floor>
      <c:thickness val="0"/>
      <c:spPr>
        <a:solidFill>
          <a:schemeClr val="bg2"/>
        </a:solidFill>
      </c:spPr>
    </c:floor>
    <c:sideWall>
      <c:thickness val="0"/>
      <c:spPr>
        <a:solidFill>
          <a:schemeClr val="bg2"/>
        </a:solidFill>
      </c:spPr>
    </c:sideWall>
    <c:backWall>
      <c:thickness val="0"/>
      <c:spPr>
        <a:solidFill>
          <a:schemeClr val="bg2"/>
        </a:solidFill>
      </c:spPr>
    </c:backWall>
    <c:plotArea>
      <c:layout/>
      <c:bar3DChart>
        <c:barDir val="col"/>
        <c:grouping val="clustered"/>
        <c:varyColors val="0"/>
        <c:ser>
          <c:idx val="0"/>
          <c:order val="0"/>
          <c:tx>
            <c:strRef>
              <c:f>Dashboard!$A$2</c:f>
              <c:strCache>
                <c:ptCount val="1"/>
                <c:pt idx="0">
                  <c:v>Abia</c:v>
                </c:pt>
              </c:strCache>
            </c:strRef>
          </c:tx>
          <c:spPr>
            <a:scene3d>
              <a:camera prst="orthographicFront"/>
              <a:lightRig rig="threePt" dir="t"/>
            </a:scene3d>
            <a:sp3d>
              <a:bevelT w="152400" h="50800" prst="softRound"/>
            </a:sp3d>
          </c:spPr>
          <c:invertIfNegative val="0"/>
          <c:cat>
            <c:strRef>
              <c:f>Dashboard!$B$1:$G$1</c:f>
              <c:strCache>
                <c:ptCount val="6"/>
                <c:pt idx="0">
                  <c:v>Jan-14</c:v>
                </c:pt>
                <c:pt idx="1">
                  <c:v>Feb-14</c:v>
                </c:pt>
                <c:pt idx="2">
                  <c:v>Mar-14</c:v>
                </c:pt>
                <c:pt idx="3">
                  <c:v>Apr-14</c:v>
                </c:pt>
                <c:pt idx="4">
                  <c:v>May-14</c:v>
                </c:pt>
                <c:pt idx="5">
                  <c:v>Jun-14</c:v>
                </c:pt>
              </c:strCache>
            </c:strRef>
          </c:cat>
          <c:val>
            <c:numRef>
              <c:f>Dashboard!$B$2:$G$2</c:f>
              <c:numCache>
                <c:formatCode>[$₦-46A]\ #,##0.00</c:formatCode>
                <c:ptCount val="6"/>
                <c:pt idx="0">
                  <c:v>1297498300</c:v>
                </c:pt>
                <c:pt idx="1">
                  <c:v>821123500</c:v>
                </c:pt>
                <c:pt idx="2">
                  <c:v>1175454800</c:v>
                </c:pt>
                <c:pt idx="3">
                  <c:v>967327400</c:v>
                </c:pt>
                <c:pt idx="4">
                  <c:v>2265644000</c:v>
                </c:pt>
                <c:pt idx="5">
                  <c:v>4544916100</c:v>
                </c:pt>
              </c:numCache>
            </c:numRef>
          </c:val>
        </c:ser>
        <c:dLbls>
          <c:showLegendKey val="0"/>
          <c:showVal val="0"/>
          <c:showCatName val="0"/>
          <c:showSerName val="0"/>
          <c:showPercent val="0"/>
          <c:showBubbleSize val="0"/>
        </c:dLbls>
        <c:gapWidth val="75"/>
        <c:shape val="box"/>
        <c:axId val="392467456"/>
        <c:axId val="475091456"/>
        <c:axId val="0"/>
      </c:bar3DChart>
      <c:catAx>
        <c:axId val="392467456"/>
        <c:scaling>
          <c:orientation val="minMax"/>
        </c:scaling>
        <c:delete val="0"/>
        <c:axPos val="b"/>
        <c:numFmt formatCode="Standard" sourceLinked="1"/>
        <c:majorTickMark val="none"/>
        <c:minorTickMark val="none"/>
        <c:tickLblPos val="nextTo"/>
        <c:crossAx val="475091456"/>
        <c:crosses val="autoZero"/>
        <c:auto val="1"/>
        <c:lblAlgn val="ctr"/>
        <c:lblOffset val="100"/>
        <c:noMultiLvlLbl val="0"/>
      </c:catAx>
      <c:valAx>
        <c:axId val="475091456"/>
        <c:scaling>
          <c:orientation val="minMax"/>
        </c:scaling>
        <c:delete val="0"/>
        <c:axPos val="l"/>
        <c:majorGridlines/>
        <c:numFmt formatCode="[$₦-46A]\ #,##0.00" sourceLinked="1"/>
        <c:majorTickMark val="none"/>
        <c:minorTickMark val="none"/>
        <c:tickLblPos val="nextTo"/>
        <c:spPr>
          <a:ln w="9525">
            <a:noFill/>
          </a:ln>
        </c:spPr>
        <c:crossAx val="392467456"/>
        <c:crosses val="autoZero"/>
        <c:crossBetween val="between"/>
      </c:valAx>
    </c:plotArea>
    <c:legend>
      <c:legendPos val="b"/>
      <c:layout/>
      <c:overlay val="0"/>
    </c:legend>
    <c:plotVisOnly val="1"/>
    <c:dispBlanksAs val="gap"/>
    <c:showDLblsOverMax val="0"/>
  </c:chart>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519112</xdr:colOff>
      <xdr:row>4</xdr:row>
      <xdr:rowOff>95250</xdr:rowOff>
    </xdr:from>
    <xdr:to>
      <xdr:col>5</xdr:col>
      <xdr:colOff>390525</xdr:colOff>
      <xdr:row>21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Housing" displayName="Housing" ref="B6:E18" totalsRowCount="1" headerRowDxfId="144" dataDxfId="143" totalsRowDxfId="142">
  <autoFilter ref="B6:E17"/>
  <tableColumns count="4">
    <tableColumn id="1" name="Housing" totalsRowLabel="Total" dataDxfId="141" totalsRowDxfId="140" dataCellStyle="Normal 2"/>
    <tableColumn id="2" name="Budgeted Cost" totalsRowFunction="sum" dataDxfId="139" totalsRowDxfId="138" dataCellStyle="Normal 2"/>
    <tableColumn id="3" name="Actual Cost" totalsRowFunction="sum" dataDxfId="137" totalsRowDxfId="136" dataCellStyle="Normal 2"/>
    <tableColumn id="4" name="Difference" totalsRowFunction="sum" dataDxfId="135" totalsRowDxfId="134" dataCellStyle="Normal 2">
      <calculatedColumnFormula>Housing[Budgeted Cost]-Housing[Actual Cost]</calculatedColumnFormula>
    </tableColumn>
  </tableColumns>
  <tableStyleInfo name="Table Style 1" showFirstColumn="0" showLastColumn="0" showRowStripes="1" showColumnStripes="0"/>
</table>
</file>

<file path=xl/tables/table10.xml><?xml version="1.0" encoding="utf-8"?>
<table xmlns="http://schemas.openxmlformats.org/spreadsheetml/2006/main" id="10" name="Taxes" displayName="Taxes" ref="G39:J44" totalsRowCount="1" headerRowDxfId="45" dataDxfId="44" totalsRowDxfId="43">
  <autoFilter ref="G39:J43"/>
  <tableColumns count="4">
    <tableColumn id="1" name="Taxes" totalsRowLabel="Total" dataDxfId="42" totalsRowDxfId="41"/>
    <tableColumn id="2" name="Projected Cost" totalsRowFunction="sum" dataDxfId="40" totalsRowDxfId="39"/>
    <tableColumn id="3" name="Actual Cost" totalsRowFunction="sum" dataDxfId="38" totalsRowDxfId="37"/>
    <tableColumn id="4" name="Difference" totalsRowFunction="sum" dataDxfId="36" totalsRowDxfId="35">
      <calculatedColumnFormula>Taxes[Projected Cost]-Taxes[Actual Cost]</calculatedColumnFormula>
    </tableColumn>
  </tableColumns>
  <tableStyleInfo name="Table Style 1" showFirstColumn="0" showLastColumn="0" showRowStripes="1" showColumnStripes="0"/>
</table>
</file>

<file path=xl/tables/table11.xml><?xml version="1.0" encoding="utf-8"?>
<table xmlns="http://schemas.openxmlformats.org/spreadsheetml/2006/main" id="11" name="Savings" displayName="Savings" ref="B63:E68" totalsRowCount="1" headerRowDxfId="34" dataDxfId="33" totalsRowDxfId="32">
  <autoFilter ref="B63:E67"/>
  <tableColumns count="4">
    <tableColumn id="1" name="Savings/Investments" totalsRowLabel="Total" dataDxfId="31" totalsRowDxfId="30"/>
    <tableColumn id="2" name="Projected Cost" totalsRowFunction="sum" dataDxfId="29" totalsRowDxfId="28"/>
    <tableColumn id="3" name="Actual Cost" totalsRowFunction="sum" dataDxfId="27" totalsRowDxfId="26"/>
    <tableColumn id="4" name="Difference" totalsRowFunction="sum" dataDxfId="25" totalsRowDxfId="24">
      <calculatedColumnFormula>Savings[Projected Cost]-Savings[Actual Cost]</calculatedColumnFormula>
    </tableColumn>
  </tableColumns>
  <tableStyleInfo name="Table Style 1" showFirstColumn="0" showLastColumn="0" showRowStripes="1" showColumnStripes="0"/>
</table>
</file>

<file path=xl/tables/table12.xml><?xml version="1.0" encoding="utf-8"?>
<table xmlns="http://schemas.openxmlformats.org/spreadsheetml/2006/main" id="12" name="Gifts" displayName="Gifts" ref="G64:J68" totalsRowCount="1" headerRowDxfId="23" dataDxfId="22" totalsRowDxfId="21">
  <autoFilter ref="G64:J67"/>
  <tableColumns count="4">
    <tableColumn id="1" name="Gifts and Donations" totalsRowLabel="Total" dataDxfId="20" totalsRowDxfId="19"/>
    <tableColumn id="2" name="Projected Cost" totalsRowFunction="sum" dataDxfId="18" totalsRowDxfId="17"/>
    <tableColumn id="3" name="Actual Cost" totalsRowFunction="sum" dataDxfId="16" totalsRowDxfId="15"/>
    <tableColumn id="4" name="Difference" totalsRowFunction="sum" dataDxfId="14" totalsRowDxfId="13">
      <calculatedColumnFormula>Gifts[Projected Cost]-Gifts[Actual Cost]</calculatedColumnFormula>
    </tableColumn>
  </tableColumns>
  <tableStyleInfo name="Table Style 1" showFirstColumn="0" showLastColumn="0" showRowStripes="1" showColumnStripes="0"/>
</table>
</file>

<file path=xl/tables/table13.xml><?xml version="1.0" encoding="utf-8"?>
<table xmlns="http://schemas.openxmlformats.org/spreadsheetml/2006/main" id="13" name="Legal" displayName="Legal" ref="B56:E61" totalsRowCount="1" headerRowDxfId="12" dataDxfId="11" totalsRowDxfId="10">
  <autoFilter ref="B56:E60"/>
  <tableColumns count="4">
    <tableColumn id="1" name="Legal" totalsRowLabel="Total" dataDxfId="9" totalsRowDxfId="8"/>
    <tableColumn id="2" name="Projected Cost" totalsRowFunction="sum" dataDxfId="7" totalsRowDxfId="6"/>
    <tableColumn id="3" name="Actual Cost" totalsRowFunction="sum" dataDxfId="5" totalsRowDxfId="4"/>
    <tableColumn id="4" name="Difference" totalsRowFunction="sum" dataDxfId="3" totalsRowDxfId="2">
      <calculatedColumnFormula>Legal[Projected Cost]-Legal[Actual Cost]</calculatedColumnFormula>
    </tableColumn>
  </tableColumns>
  <tableStyleInfo name="Table Style 1" showFirstColumn="0" showLastColumn="0" showRowStripes="1" showColumnStripes="0"/>
</table>
</file>

<file path=xl/tables/table2.xml><?xml version="1.0" encoding="utf-8"?>
<table xmlns="http://schemas.openxmlformats.org/spreadsheetml/2006/main" id="2" name="Transportation" displayName="Transportation" ref="B20:E29" totalsRowCount="1" headerRowDxfId="133" dataDxfId="132" totalsRowDxfId="131">
  <autoFilter ref="B20:E28"/>
  <tableColumns count="4">
    <tableColumn id="1" name="Transportation" totalsRowLabel="Total" dataDxfId="130" totalsRowDxfId="129"/>
    <tableColumn id="2" name="Projected Cost" totalsRowFunction="sum" dataDxfId="128" totalsRowDxfId="127"/>
    <tableColumn id="3" name="Actual Cost" totalsRowFunction="sum" dataDxfId="126" totalsRowDxfId="125"/>
    <tableColumn id="4" name="Difference" totalsRowFunction="sum" dataDxfId="124" totalsRowDxfId="123">
      <calculatedColumnFormula>Transportation[Projected Cost]-Transportation[Actual Cost]</calculatedColumnFormula>
    </tableColumn>
  </tableColumns>
  <tableStyleInfo name="Table Style 1" showFirstColumn="0" showLastColumn="0" showRowStripes="1" showColumnStripes="0"/>
</table>
</file>

<file path=xl/tables/table3.xml><?xml version="1.0" encoding="utf-8"?>
<table xmlns="http://schemas.openxmlformats.org/spreadsheetml/2006/main" id="3" name="Insurance" displayName="Insurance" ref="B31:E36" totalsRowCount="1" headerRowDxfId="122" dataDxfId="121" totalsRowDxfId="120">
  <autoFilter ref="B31:E35"/>
  <tableColumns count="4">
    <tableColumn id="1" name="Insurance" totalsRowLabel="Total" dataDxfId="119" totalsRowDxfId="118"/>
    <tableColumn id="2" name="Projected Cost" totalsRowFunction="sum" dataDxfId="117" totalsRowDxfId="116"/>
    <tableColumn id="3" name="Actual Cost" totalsRowFunction="sum" dataDxfId="115" totalsRowDxfId="114"/>
    <tableColumn id="4" name="Difference" totalsRowFunction="sum" dataDxfId="113" totalsRowDxfId="112">
      <calculatedColumnFormula>Insurance[Projected Cost]-Insurance[Actual Cost]</calculatedColumnFormula>
    </tableColumn>
  </tableColumns>
  <tableStyleInfo name="Table Style 1" showFirstColumn="0" showLastColumn="0" showRowStripes="1" showColumnStripes="0"/>
</table>
</file>

<file path=xl/tables/table4.xml><?xml version="1.0" encoding="utf-8"?>
<table xmlns="http://schemas.openxmlformats.org/spreadsheetml/2006/main" id="4" name="Food" displayName="Food" ref="B38:E42" totalsRowCount="1" headerRowDxfId="111" dataDxfId="110" totalsRowDxfId="109">
  <autoFilter ref="B38:E41"/>
  <tableColumns count="4">
    <tableColumn id="1" name="Food" totalsRowLabel="Total" dataDxfId="108" totalsRowDxfId="107"/>
    <tableColumn id="2" name="Projected Cost" totalsRowFunction="sum" dataDxfId="106" totalsRowDxfId="105"/>
    <tableColumn id="3" name="Actual Cost" totalsRowFunction="sum" dataDxfId="104" totalsRowDxfId="103"/>
    <tableColumn id="4" name="Difference" totalsRowFunction="sum" dataDxfId="102" totalsRowDxfId="101">
      <calculatedColumnFormula>Food[Projected Cost]-Food[Actual Cost]</calculatedColumnFormula>
    </tableColumn>
  </tableColumns>
  <tableStyleInfo name="Table Style 1" showFirstColumn="0" showLastColumn="0" showRowStripes="1" showColumnStripes="0"/>
</table>
</file>

<file path=xl/tables/table5.xml><?xml version="1.0" encoding="utf-8"?>
<table xmlns="http://schemas.openxmlformats.org/spreadsheetml/2006/main" id="5" name="Children" displayName="Children" ref="B44:E54" totalsRowCount="1" headerRowDxfId="100" dataDxfId="99" totalsRowDxfId="98">
  <autoFilter ref="B44:E53"/>
  <tableColumns count="4">
    <tableColumn id="1" name="Children" totalsRowLabel="Total" dataDxfId="97" totalsRowDxfId="96"/>
    <tableColumn id="2" name="Projected Cost" totalsRowFunction="sum" dataDxfId="95" totalsRowDxfId="94"/>
    <tableColumn id="3" name="Actual Cost" totalsRowFunction="sum" dataDxfId="93" totalsRowDxfId="92"/>
    <tableColumn id="4" name="Difference" totalsRowFunction="sum" dataDxfId="91" totalsRowDxfId="90">
      <calculatedColumnFormula>Children[Projected Cost]-Children[Actual Cost]</calculatedColumnFormula>
    </tableColumn>
  </tableColumns>
  <tableStyleInfo name="Table Style 1" showFirstColumn="0" showLastColumn="0" showRowStripes="1" showColumnStripes="0"/>
</table>
</file>

<file path=xl/tables/table6.xml><?xml version="1.0" encoding="utf-8"?>
<table xmlns="http://schemas.openxmlformats.org/spreadsheetml/2006/main" id="6" name="Pets" displayName="Pets" ref="G56:J62" totalsRowCount="1" headerRowDxfId="89" dataDxfId="88" totalsRowDxfId="87">
  <autoFilter ref="G56:J61"/>
  <tableColumns count="4">
    <tableColumn id="1" name="Pets" totalsRowLabel="Total" dataDxfId="86" totalsRowDxfId="85"/>
    <tableColumn id="2" name="Projected Cost" totalsRowFunction="sum" dataDxfId="84" totalsRowDxfId="83"/>
    <tableColumn id="3" name="Actual Cost" totalsRowFunction="sum" dataDxfId="82" totalsRowDxfId="81"/>
    <tableColumn id="4" name="Difference" totalsRowFunction="sum" dataDxfId="80" totalsRowDxfId="79">
      <calculatedColumnFormula>Pets[Projected Cost]-Pets[Actual Cost]</calculatedColumnFormula>
    </tableColumn>
  </tableColumns>
  <tableStyleInfo name="Table Style 1" showFirstColumn="0" showLastColumn="0" showRowStripes="1" showColumnStripes="0"/>
</table>
</file>

<file path=xl/tables/table7.xml><?xml version="1.0" encoding="utf-8"?>
<table xmlns="http://schemas.openxmlformats.org/spreadsheetml/2006/main" id="7" name="PersonalCare" displayName="PersonalCare" ref="G46:J54" totalsRowCount="1" headerRowDxfId="78" dataDxfId="77" totalsRowDxfId="76">
  <autoFilter ref="G46:J53"/>
  <tableColumns count="4">
    <tableColumn id="1" name="Personal Care" totalsRowLabel="Total" dataDxfId="75" totalsRowDxfId="74"/>
    <tableColumn id="2" name="Projected Cost" totalsRowFunction="sum" dataDxfId="73" totalsRowDxfId="72"/>
    <tableColumn id="3" name="Actual Cost" totalsRowFunction="sum" dataDxfId="71" totalsRowDxfId="70"/>
    <tableColumn id="4" name="Difference" totalsRowFunction="sum" dataDxfId="69" totalsRowDxfId="68">
      <calculatedColumnFormula>PersonalCare[Projected Cost]-PersonalCare[Actual Cost]</calculatedColumnFormula>
    </tableColumn>
  </tableColumns>
  <tableStyleInfo name="Table Style 1" showFirstColumn="0" showLastColumn="0" showRowStripes="1" showColumnStripes="0"/>
</table>
</file>

<file path=xl/tables/table8.xml><?xml version="1.0" encoding="utf-8"?>
<table xmlns="http://schemas.openxmlformats.org/spreadsheetml/2006/main" id="8" name="Entertainment" displayName="Entertainment" ref="G29:J37" totalsRowCount="1" headerRowDxfId="67" dataDxfId="66" totalsRowDxfId="65">
  <autoFilter ref="G29:J36"/>
  <tableColumns count="4">
    <tableColumn id="1" name="Entertainment" totalsRowLabel="Total" dataDxfId="64" totalsRowDxfId="63"/>
    <tableColumn id="2" name="Projected Cost" totalsRowFunction="sum" dataDxfId="62" totalsRowDxfId="61"/>
    <tableColumn id="3" name="Actual Cost" totalsRowFunction="sum" dataDxfId="60" totalsRowDxfId="59"/>
    <tableColumn id="4" name="Difference" totalsRowFunction="sum" dataDxfId="58" totalsRowDxfId="57">
      <calculatedColumnFormula>Entertainment[Projected Cost]-Entertainment[Actual Cost]</calculatedColumnFormula>
    </tableColumn>
  </tableColumns>
  <tableStyleInfo name="Table Style 1" showFirstColumn="0" showLastColumn="0" showRowStripes="1" showColumnStripes="0"/>
</table>
</file>

<file path=xl/tables/table9.xml><?xml version="1.0" encoding="utf-8"?>
<table xmlns="http://schemas.openxmlformats.org/spreadsheetml/2006/main" id="9" name="Loans" displayName="Loans" ref="G20:J27" totalsRowCount="1" headerRowDxfId="56" dataDxfId="55" totalsRowDxfId="54">
  <autoFilter ref="G20:J26"/>
  <tableColumns count="4">
    <tableColumn id="1" name="Loans" totalsRowLabel="Total" dataDxfId="53" totalsRowDxfId="52"/>
    <tableColumn id="2" name="Projected Cost" totalsRowFunction="sum" dataDxfId="51" totalsRowDxfId="50"/>
    <tableColumn id="3" name="Actual Cost" totalsRowFunction="sum" dataDxfId="49" totalsRowDxfId="48"/>
    <tableColumn id="4" name="Difference" totalsRowFunction="sum" dataDxfId="47" totalsRowDxfId="46">
      <calculatedColumnFormula>Loans[Projected Cost]-Loans[Actual Cost]</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blog.urbizedg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2.vml"/><Relationship Id="rId16" Type="http://schemas.openxmlformats.org/officeDocument/2006/relationships/comments" Target="../comments2.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23"/>
  <sheetViews>
    <sheetView zoomScale="115" zoomScaleNormal="115" workbookViewId="0">
      <selection activeCell="H13" sqref="H13"/>
    </sheetView>
  </sheetViews>
  <sheetFormatPr defaultRowHeight="15" x14ac:dyDescent="0.25"/>
  <cols>
    <col min="1" max="1" width="11.28515625" bestFit="1" customWidth="1"/>
  </cols>
  <sheetData>
    <row r="1" spans="1:2" ht="18.75" x14ac:dyDescent="0.3">
      <c r="A1" s="1" t="s">
        <v>3</v>
      </c>
      <c r="B1" s="2" t="s">
        <v>4</v>
      </c>
    </row>
    <row r="3" spans="1:2" ht="18.75" x14ac:dyDescent="0.3">
      <c r="A3" s="3"/>
      <c r="B3" s="3" t="s">
        <v>232</v>
      </c>
    </row>
    <row r="4" spans="1:2" ht="18.75" x14ac:dyDescent="0.3">
      <c r="A4" s="3"/>
      <c r="B4" s="3" t="s">
        <v>6</v>
      </c>
    </row>
    <row r="5" spans="1:2" ht="18.75" x14ac:dyDescent="0.3">
      <c r="A5" s="3"/>
      <c r="B5" s="3"/>
    </row>
    <row r="6" spans="1:2" ht="18.75" x14ac:dyDescent="0.3">
      <c r="A6" s="3"/>
      <c r="B6" s="3" t="s">
        <v>7</v>
      </c>
    </row>
    <row r="7" spans="1:2" ht="18.75" x14ac:dyDescent="0.3">
      <c r="A7" s="3"/>
      <c r="B7" s="3" t="s">
        <v>8</v>
      </c>
    </row>
    <row r="8" spans="1:2" ht="18.75" x14ac:dyDescent="0.3">
      <c r="A8" s="3"/>
      <c r="B8" s="3" t="s">
        <v>233</v>
      </c>
    </row>
    <row r="9" spans="1:2" ht="18.75" x14ac:dyDescent="0.3">
      <c r="A9" s="3"/>
      <c r="B9" s="3"/>
    </row>
    <row r="10" spans="1:2" ht="18.75" x14ac:dyDescent="0.3">
      <c r="A10" s="3"/>
      <c r="B10" s="3" t="s">
        <v>9</v>
      </c>
    </row>
    <row r="11" spans="1:2" ht="18.75" x14ac:dyDescent="0.3">
      <c r="A11" s="3"/>
      <c r="B11" s="3" t="s">
        <v>10</v>
      </c>
    </row>
    <row r="12" spans="1:2" ht="18.75" x14ac:dyDescent="0.3">
      <c r="A12" s="3"/>
      <c r="B12" s="3" t="s">
        <v>11</v>
      </c>
    </row>
    <row r="13" spans="1:2" ht="18.75" x14ac:dyDescent="0.3">
      <c r="A13" s="3"/>
      <c r="B13" s="3" t="s">
        <v>12</v>
      </c>
    </row>
    <row r="14" spans="1:2" ht="18.75" x14ac:dyDescent="0.3">
      <c r="A14" s="3"/>
      <c r="B14" s="3" t="s">
        <v>13</v>
      </c>
    </row>
    <row r="15" spans="1:2" ht="18.75" x14ac:dyDescent="0.3">
      <c r="A15" s="3"/>
      <c r="B15" s="3"/>
    </row>
    <row r="16" spans="1:2" ht="18.75" x14ac:dyDescent="0.3">
      <c r="A16" s="3"/>
      <c r="B16" s="85" t="s">
        <v>0</v>
      </c>
    </row>
    <row r="17" spans="1:2" ht="18.75" x14ac:dyDescent="0.3">
      <c r="A17" s="3"/>
      <c r="B17" s="3"/>
    </row>
    <row r="18" spans="1:2" ht="18.75" x14ac:dyDescent="0.3">
      <c r="A18" s="3"/>
      <c r="B18" s="3" t="s">
        <v>5</v>
      </c>
    </row>
    <row r="19" spans="1:2" ht="18.75" x14ac:dyDescent="0.3">
      <c r="A19" s="3"/>
      <c r="B19" s="3"/>
    </row>
    <row r="20" spans="1:2" ht="18.75" x14ac:dyDescent="0.3">
      <c r="A20" s="3"/>
      <c r="B20" s="3" t="s">
        <v>1</v>
      </c>
    </row>
    <row r="21" spans="1:2" ht="18.75" x14ac:dyDescent="0.3">
      <c r="A21" s="3"/>
      <c r="B21" s="4" t="s">
        <v>2</v>
      </c>
    </row>
    <row r="22" spans="1:2" ht="18.75" x14ac:dyDescent="0.3">
      <c r="A22" s="3"/>
      <c r="B22" s="3"/>
    </row>
    <row r="23" spans="1:2" ht="18.75" x14ac:dyDescent="0.3">
      <c r="A23" s="3"/>
      <c r="B23" s="3"/>
    </row>
  </sheetData>
  <hyperlinks>
    <hyperlink ref="B21" r:id="rId1"/>
    <hyperlink ref="B16" location="Dashboard!A1" display="Let's get start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
  <sheetViews>
    <sheetView workbookViewId="0">
      <selection activeCell="A6" sqref="A6"/>
    </sheetView>
  </sheetViews>
  <sheetFormatPr defaultRowHeight="15" x14ac:dyDescent="0.25"/>
  <cols>
    <col min="1" max="1" width="17" customWidth="1"/>
    <col min="2" max="3" width="18.42578125" bestFit="1" customWidth="1"/>
    <col min="4" max="4" width="19.42578125" bestFit="1" customWidth="1"/>
    <col min="5" max="5" width="18.42578125" bestFit="1" customWidth="1"/>
    <col min="6" max="7" width="19.42578125" bestFit="1" customWidth="1"/>
  </cols>
  <sheetData>
    <row r="1" spans="1:8" x14ac:dyDescent="0.25">
      <c r="A1" s="77" t="s">
        <v>160</v>
      </c>
      <c r="B1" s="78" t="s">
        <v>191</v>
      </c>
      <c r="C1" s="78" t="s">
        <v>192</v>
      </c>
      <c r="D1" s="78" t="s">
        <v>193</v>
      </c>
      <c r="E1" s="78" t="s">
        <v>194</v>
      </c>
      <c r="F1" s="78" t="s">
        <v>195</v>
      </c>
      <c r="G1" s="79" t="s">
        <v>196</v>
      </c>
    </row>
    <row r="2" spans="1:8" x14ac:dyDescent="0.25">
      <c r="A2" s="80" t="s">
        <v>197</v>
      </c>
      <c r="B2" s="81">
        <v>1297498300</v>
      </c>
      <c r="C2" s="81">
        <v>821123500</v>
      </c>
      <c r="D2" s="81">
        <v>1175454800</v>
      </c>
      <c r="E2" s="81">
        <v>967327400</v>
      </c>
      <c r="F2" s="81">
        <v>2265644000</v>
      </c>
      <c r="G2" s="76">
        <v>4544916100</v>
      </c>
    </row>
    <row r="3" spans="1:8" x14ac:dyDescent="0.25">
      <c r="H3" s="86" t="str">
        <f>A2&amp;" -- 2014 Half Year Revenue"</f>
        <v>Abia -- 2014 Half Year Revenue</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9"/>
  <sheetViews>
    <sheetView tabSelected="1" workbookViewId="0">
      <pane ySplit="1" topLeftCell="A2" activePane="bottomLeft" state="frozen"/>
      <selection pane="bottomLeft" activeCell="C11" sqref="C11"/>
    </sheetView>
  </sheetViews>
  <sheetFormatPr defaultRowHeight="15" x14ac:dyDescent="0.25"/>
  <cols>
    <col min="1" max="1" width="10.85546875" bestFit="1" customWidth="1"/>
    <col min="2" max="3" width="18.42578125" bestFit="1" customWidth="1"/>
    <col min="4" max="4" width="19.42578125" bestFit="1" customWidth="1"/>
    <col min="5" max="5" width="18.42578125" bestFit="1" customWidth="1"/>
    <col min="6" max="7" width="19.42578125" bestFit="1" customWidth="1"/>
  </cols>
  <sheetData>
    <row r="1" spans="1:7" x14ac:dyDescent="0.25">
      <c r="A1" s="77" t="s">
        <v>160</v>
      </c>
      <c r="B1" s="78" t="s">
        <v>191</v>
      </c>
      <c r="C1" s="78" t="s">
        <v>192</v>
      </c>
      <c r="D1" s="78" t="s">
        <v>193</v>
      </c>
      <c r="E1" s="78" t="s">
        <v>194</v>
      </c>
      <c r="F1" s="78" t="s">
        <v>195</v>
      </c>
      <c r="G1" s="79" t="s">
        <v>196</v>
      </c>
    </row>
    <row r="2" spans="1:7" x14ac:dyDescent="0.25">
      <c r="A2" s="80" t="s">
        <v>197</v>
      </c>
      <c r="B2" s="81">
        <v>1297498300</v>
      </c>
      <c r="C2" s="81">
        <v>821123500</v>
      </c>
      <c r="D2" s="81">
        <v>1175454800</v>
      </c>
      <c r="E2" s="81">
        <v>967327400</v>
      </c>
      <c r="F2" s="81">
        <v>2265644000</v>
      </c>
      <c r="G2" s="76">
        <v>4544916100</v>
      </c>
    </row>
    <row r="3" spans="1:7" x14ac:dyDescent="0.25">
      <c r="A3" s="80" t="s">
        <v>198</v>
      </c>
      <c r="B3" s="81">
        <v>4022792500</v>
      </c>
      <c r="C3" s="81">
        <v>4317641300</v>
      </c>
      <c r="D3" s="81">
        <v>1627470600</v>
      </c>
      <c r="E3" s="81">
        <v>1023694700</v>
      </c>
      <c r="F3" s="81">
        <v>3493691500</v>
      </c>
      <c r="G3" s="76">
        <v>1973059900</v>
      </c>
    </row>
    <row r="4" spans="1:7" x14ac:dyDescent="0.25">
      <c r="A4" s="80" t="s">
        <v>199</v>
      </c>
      <c r="B4" s="81">
        <v>824782800</v>
      </c>
      <c r="C4" s="81">
        <v>1691712500</v>
      </c>
      <c r="D4" s="81">
        <v>4927386500</v>
      </c>
      <c r="E4" s="81">
        <v>2187626200</v>
      </c>
      <c r="F4" s="81">
        <v>2966925400</v>
      </c>
      <c r="G4" s="76">
        <v>2202014900</v>
      </c>
    </row>
    <row r="5" spans="1:7" x14ac:dyDescent="0.25">
      <c r="A5" s="80" t="s">
        <v>200</v>
      </c>
      <c r="B5" s="81">
        <v>2159322900</v>
      </c>
      <c r="C5" s="81">
        <v>1511863500</v>
      </c>
      <c r="D5" s="81">
        <v>4060131900</v>
      </c>
      <c r="E5" s="81">
        <v>1843665900</v>
      </c>
      <c r="F5" s="81">
        <v>2439308800</v>
      </c>
      <c r="G5" s="76">
        <v>3015652900</v>
      </c>
    </row>
    <row r="6" spans="1:7" x14ac:dyDescent="0.25">
      <c r="A6" s="80" t="s">
        <v>201</v>
      </c>
      <c r="B6" s="81">
        <v>764748600</v>
      </c>
      <c r="C6" s="81">
        <v>3059451100</v>
      </c>
      <c r="D6" s="81">
        <v>2879985600</v>
      </c>
      <c r="E6" s="81">
        <v>3032115500</v>
      </c>
      <c r="F6" s="81">
        <v>2609030900</v>
      </c>
      <c r="G6" s="76">
        <v>3000312200</v>
      </c>
    </row>
    <row r="7" spans="1:7" x14ac:dyDescent="0.25">
      <c r="A7" s="80" t="s">
        <v>202</v>
      </c>
      <c r="B7" s="81">
        <v>1218646400</v>
      </c>
      <c r="C7" s="81">
        <v>2035499300</v>
      </c>
      <c r="D7" s="81">
        <v>3596177500</v>
      </c>
      <c r="E7" s="81">
        <v>3958333500</v>
      </c>
      <c r="F7" s="81">
        <v>4856865900</v>
      </c>
      <c r="G7" s="76">
        <v>1754855100</v>
      </c>
    </row>
    <row r="8" spans="1:7" x14ac:dyDescent="0.25">
      <c r="A8" s="80" t="s">
        <v>203</v>
      </c>
      <c r="B8" s="81">
        <v>3479649000</v>
      </c>
      <c r="C8" s="81">
        <v>3864832700</v>
      </c>
      <c r="D8" s="81">
        <v>2458711700</v>
      </c>
      <c r="E8" s="81">
        <v>4801142000</v>
      </c>
      <c r="F8" s="81">
        <v>2700421800</v>
      </c>
      <c r="G8" s="76">
        <v>3212451900</v>
      </c>
    </row>
    <row r="9" spans="1:7" x14ac:dyDescent="0.25">
      <c r="A9" s="80" t="s">
        <v>204</v>
      </c>
      <c r="B9" s="81">
        <v>2361614200</v>
      </c>
      <c r="C9" s="81">
        <v>1616065000</v>
      </c>
      <c r="D9" s="81">
        <v>4908244600</v>
      </c>
      <c r="E9" s="81">
        <v>4216846800</v>
      </c>
      <c r="F9" s="81">
        <v>581980000</v>
      </c>
      <c r="G9" s="76">
        <v>4166988100</v>
      </c>
    </row>
    <row r="10" spans="1:7" x14ac:dyDescent="0.25">
      <c r="A10" s="80" t="s">
        <v>205</v>
      </c>
      <c r="B10" s="81">
        <v>2416592600</v>
      </c>
      <c r="C10" s="81">
        <v>1971834600</v>
      </c>
      <c r="D10" s="81">
        <v>1814142400</v>
      </c>
      <c r="E10" s="81">
        <v>4658487000</v>
      </c>
      <c r="F10" s="81">
        <v>745327000</v>
      </c>
      <c r="G10" s="76">
        <v>4779952700</v>
      </c>
    </row>
    <row r="11" spans="1:7" x14ac:dyDescent="0.25">
      <c r="A11" s="80" t="s">
        <v>206</v>
      </c>
      <c r="B11" s="81">
        <v>4755914300</v>
      </c>
      <c r="C11" s="81">
        <v>2382209500</v>
      </c>
      <c r="D11" s="81">
        <v>3361514600</v>
      </c>
      <c r="E11" s="81">
        <v>2060298000</v>
      </c>
      <c r="F11" s="81">
        <v>4671269900</v>
      </c>
      <c r="G11" s="76">
        <v>2363220900</v>
      </c>
    </row>
    <row r="12" spans="1:7" x14ac:dyDescent="0.25">
      <c r="A12" s="80" t="s">
        <v>207</v>
      </c>
      <c r="B12" s="81">
        <v>3547140000</v>
      </c>
      <c r="C12" s="81">
        <v>3233069500</v>
      </c>
      <c r="D12" s="81">
        <v>4883253900</v>
      </c>
      <c r="E12" s="81">
        <v>1060164800</v>
      </c>
      <c r="F12" s="81">
        <v>2926053500</v>
      </c>
      <c r="G12" s="76">
        <v>713048500</v>
      </c>
    </row>
    <row r="13" spans="1:7" x14ac:dyDescent="0.25">
      <c r="A13" s="80" t="s">
        <v>208</v>
      </c>
      <c r="B13" s="81">
        <v>2663501000</v>
      </c>
      <c r="C13" s="81">
        <v>781461300</v>
      </c>
      <c r="D13" s="81">
        <v>462661800</v>
      </c>
      <c r="E13" s="81">
        <v>543085200</v>
      </c>
      <c r="F13" s="81">
        <v>3256011600</v>
      </c>
      <c r="G13" s="76">
        <v>2900705900</v>
      </c>
    </row>
    <row r="14" spans="1:7" x14ac:dyDescent="0.25">
      <c r="A14" s="80" t="s">
        <v>209</v>
      </c>
      <c r="B14" s="81">
        <v>1816087900</v>
      </c>
      <c r="C14" s="81">
        <v>4128943600</v>
      </c>
      <c r="D14" s="81">
        <v>1512170300</v>
      </c>
      <c r="E14" s="81">
        <v>2592908100</v>
      </c>
      <c r="F14" s="81">
        <v>3340038100</v>
      </c>
      <c r="G14" s="76">
        <v>4040341600</v>
      </c>
    </row>
    <row r="15" spans="1:7" x14ac:dyDescent="0.25">
      <c r="A15" s="80" t="s">
        <v>210</v>
      </c>
      <c r="B15" s="81">
        <v>1409979200</v>
      </c>
      <c r="C15" s="81">
        <v>2609372800</v>
      </c>
      <c r="D15" s="81">
        <v>1990646300</v>
      </c>
      <c r="E15" s="81">
        <v>3219650200</v>
      </c>
      <c r="F15" s="81">
        <v>1893090400</v>
      </c>
      <c r="G15" s="76">
        <v>4581716900</v>
      </c>
    </row>
    <row r="16" spans="1:7" x14ac:dyDescent="0.25">
      <c r="A16" s="80" t="s">
        <v>211</v>
      </c>
      <c r="B16" s="81">
        <v>3199223200</v>
      </c>
      <c r="C16" s="81">
        <v>2063317300</v>
      </c>
      <c r="D16" s="81">
        <v>1829381400</v>
      </c>
      <c r="E16" s="81">
        <v>3704640600</v>
      </c>
      <c r="F16" s="81">
        <v>4980777000</v>
      </c>
      <c r="G16" s="76">
        <v>2520202900</v>
      </c>
    </row>
    <row r="17" spans="1:7" x14ac:dyDescent="0.25">
      <c r="A17" s="80" t="s">
        <v>212</v>
      </c>
      <c r="B17" s="81">
        <v>620111300</v>
      </c>
      <c r="C17" s="81">
        <v>2201453200</v>
      </c>
      <c r="D17" s="81">
        <v>1885641400</v>
      </c>
      <c r="E17" s="81">
        <v>4146024300</v>
      </c>
      <c r="F17" s="81">
        <v>2551023100</v>
      </c>
      <c r="G17" s="76">
        <v>2523019700</v>
      </c>
    </row>
    <row r="18" spans="1:7" x14ac:dyDescent="0.25">
      <c r="A18" s="80" t="s">
        <v>213</v>
      </c>
      <c r="B18" s="81">
        <v>2591742600</v>
      </c>
      <c r="C18" s="81">
        <v>2521764800</v>
      </c>
      <c r="D18" s="81">
        <v>2013994900</v>
      </c>
      <c r="E18" s="81">
        <v>4994515700</v>
      </c>
      <c r="F18" s="81">
        <v>3014428300</v>
      </c>
      <c r="G18" s="76">
        <v>2922241900</v>
      </c>
    </row>
    <row r="19" spans="1:7" x14ac:dyDescent="0.25">
      <c r="A19" s="80" t="s">
        <v>214</v>
      </c>
      <c r="B19" s="81">
        <v>3550126700</v>
      </c>
      <c r="C19" s="81">
        <v>1573445100</v>
      </c>
      <c r="D19" s="81">
        <v>3756243200</v>
      </c>
      <c r="E19" s="81">
        <v>3092703100</v>
      </c>
      <c r="F19" s="81">
        <v>1417963700</v>
      </c>
      <c r="G19" s="76">
        <v>2311559800</v>
      </c>
    </row>
    <row r="20" spans="1:7" x14ac:dyDescent="0.25">
      <c r="A20" s="80" t="s">
        <v>215</v>
      </c>
      <c r="B20" s="81">
        <v>3938598800</v>
      </c>
      <c r="C20" s="81">
        <v>2599773900</v>
      </c>
      <c r="D20" s="81">
        <v>1224849400</v>
      </c>
      <c r="E20" s="81">
        <v>1662248400</v>
      </c>
      <c r="F20" s="81">
        <v>450931500</v>
      </c>
      <c r="G20" s="76">
        <v>3835345400</v>
      </c>
    </row>
    <row r="21" spans="1:7" x14ac:dyDescent="0.25">
      <c r="A21" s="80" t="s">
        <v>216</v>
      </c>
      <c r="B21" s="81">
        <v>2981980300</v>
      </c>
      <c r="C21" s="81">
        <v>2021735600</v>
      </c>
      <c r="D21" s="81">
        <v>3016518600</v>
      </c>
      <c r="E21" s="81">
        <v>4411651000</v>
      </c>
      <c r="F21" s="81">
        <v>2387291000</v>
      </c>
      <c r="G21" s="76">
        <v>530613400</v>
      </c>
    </row>
    <row r="22" spans="1:7" x14ac:dyDescent="0.25">
      <c r="A22" s="80" t="s">
        <v>217</v>
      </c>
      <c r="B22" s="81">
        <v>3589421500</v>
      </c>
      <c r="C22" s="81">
        <v>1293838700</v>
      </c>
      <c r="D22" s="81">
        <v>638877300</v>
      </c>
      <c r="E22" s="81">
        <v>2969721400</v>
      </c>
      <c r="F22" s="81">
        <v>1025989500</v>
      </c>
      <c r="G22" s="76">
        <v>2648689500</v>
      </c>
    </row>
    <row r="23" spans="1:7" x14ac:dyDescent="0.25">
      <c r="A23" s="80" t="s">
        <v>218</v>
      </c>
      <c r="B23" s="81">
        <v>1684273500</v>
      </c>
      <c r="C23" s="81">
        <v>4790202900</v>
      </c>
      <c r="D23" s="81">
        <v>991721500</v>
      </c>
      <c r="E23" s="81">
        <v>4897014100</v>
      </c>
      <c r="F23" s="81">
        <v>4131210900</v>
      </c>
      <c r="G23" s="76">
        <v>3990418100</v>
      </c>
    </row>
    <row r="24" spans="1:7" x14ac:dyDescent="0.25">
      <c r="A24" s="80" t="s">
        <v>219</v>
      </c>
      <c r="B24" s="81">
        <v>2812863300</v>
      </c>
      <c r="C24" s="81">
        <v>2734189600</v>
      </c>
      <c r="D24" s="81">
        <v>2306601300</v>
      </c>
      <c r="E24" s="81">
        <v>867264000</v>
      </c>
      <c r="F24" s="81">
        <v>2104687400</v>
      </c>
      <c r="G24" s="76">
        <v>2825512800</v>
      </c>
    </row>
    <row r="25" spans="1:7" x14ac:dyDescent="0.25">
      <c r="A25" s="80" t="s">
        <v>220</v>
      </c>
      <c r="B25" s="81">
        <v>3915338600</v>
      </c>
      <c r="C25" s="81">
        <v>1496830100</v>
      </c>
      <c r="D25" s="81">
        <v>1305529900</v>
      </c>
      <c r="E25" s="81">
        <v>4919941300</v>
      </c>
      <c r="F25" s="81">
        <v>2214504600</v>
      </c>
      <c r="G25" s="76">
        <v>912176400</v>
      </c>
    </row>
    <row r="26" spans="1:7" x14ac:dyDescent="0.25">
      <c r="A26" s="80" t="s">
        <v>221</v>
      </c>
      <c r="B26" s="81">
        <v>6239473500</v>
      </c>
      <c r="C26" s="81">
        <v>7319183000</v>
      </c>
      <c r="D26" s="81">
        <v>6211689500</v>
      </c>
      <c r="E26" s="81">
        <v>3351178500</v>
      </c>
      <c r="F26" s="81">
        <v>11610307000</v>
      </c>
      <c r="G26" s="76">
        <v>22681984500</v>
      </c>
    </row>
    <row r="27" spans="1:7" x14ac:dyDescent="0.25">
      <c r="A27" s="80" t="s">
        <v>222</v>
      </c>
      <c r="B27" s="81">
        <v>450732700</v>
      </c>
      <c r="C27" s="81">
        <v>4852095900</v>
      </c>
      <c r="D27" s="81">
        <v>1411838200</v>
      </c>
      <c r="E27" s="81">
        <v>743233200</v>
      </c>
      <c r="F27" s="81">
        <v>492081500</v>
      </c>
      <c r="G27" s="76">
        <v>1310892700</v>
      </c>
    </row>
    <row r="28" spans="1:7" x14ac:dyDescent="0.25">
      <c r="A28" s="80" t="s">
        <v>223</v>
      </c>
      <c r="B28" s="81">
        <v>3002387100</v>
      </c>
      <c r="C28" s="81">
        <v>4592318900</v>
      </c>
      <c r="D28" s="81">
        <v>3219870900</v>
      </c>
      <c r="E28" s="81">
        <v>1086334400</v>
      </c>
      <c r="F28" s="81">
        <v>3979805300</v>
      </c>
      <c r="G28" s="76">
        <v>1826747300</v>
      </c>
    </row>
    <row r="29" spans="1:7" x14ac:dyDescent="0.25">
      <c r="A29" s="80" t="s">
        <v>224</v>
      </c>
      <c r="B29" s="81">
        <v>3434714900</v>
      </c>
      <c r="C29" s="81">
        <v>2586000100</v>
      </c>
      <c r="D29" s="81">
        <v>3907557600</v>
      </c>
      <c r="E29" s="81">
        <v>1642410200</v>
      </c>
      <c r="F29" s="81">
        <v>2265022600</v>
      </c>
      <c r="G29" s="76">
        <v>3200451900</v>
      </c>
    </row>
    <row r="30" spans="1:7" x14ac:dyDescent="0.25">
      <c r="A30" s="80" t="s">
        <v>242</v>
      </c>
      <c r="B30" s="81">
        <v>3080572127</v>
      </c>
      <c r="C30" s="81">
        <v>3151982550</v>
      </c>
      <c r="D30" s="81">
        <v>2333094114</v>
      </c>
      <c r="E30" s="81">
        <v>2195287135</v>
      </c>
      <c r="F30" s="81">
        <v>2964466474</v>
      </c>
      <c r="G30" s="81">
        <v>2858954963</v>
      </c>
    </row>
    <row r="31" spans="1:7" x14ac:dyDescent="0.25">
      <c r="A31" s="80" t="s">
        <v>225</v>
      </c>
      <c r="B31" s="81">
        <v>716222900</v>
      </c>
      <c r="C31" s="81">
        <v>1690422800</v>
      </c>
      <c r="D31" s="81">
        <v>4362953800</v>
      </c>
      <c r="E31" s="81">
        <v>977876300</v>
      </c>
      <c r="F31" s="81">
        <v>4300936900</v>
      </c>
      <c r="G31" s="76">
        <v>4925747700</v>
      </c>
    </row>
    <row r="32" spans="1:7" x14ac:dyDescent="0.25">
      <c r="A32" s="80" t="s">
        <v>243</v>
      </c>
      <c r="B32" s="81">
        <v>3055881361</v>
      </c>
      <c r="C32" s="81">
        <v>2093805554</v>
      </c>
      <c r="D32" s="81">
        <v>2947803833</v>
      </c>
      <c r="E32" s="81">
        <v>2755832467</v>
      </c>
      <c r="F32" s="81">
        <v>2134101323</v>
      </c>
      <c r="G32" s="81">
        <v>3098367251</v>
      </c>
    </row>
    <row r="33" spans="1:7" x14ac:dyDescent="0.25">
      <c r="A33" s="80" t="s">
        <v>226</v>
      </c>
      <c r="B33" s="81">
        <v>4527323100</v>
      </c>
      <c r="C33" s="81">
        <v>2371220000</v>
      </c>
      <c r="D33" s="81">
        <v>4471653300</v>
      </c>
      <c r="E33" s="81">
        <v>932778800</v>
      </c>
      <c r="F33" s="81">
        <v>3593441000</v>
      </c>
      <c r="G33" s="76">
        <v>4894816200</v>
      </c>
    </row>
    <row r="34" spans="1:7" x14ac:dyDescent="0.25">
      <c r="A34" s="80" t="s">
        <v>227</v>
      </c>
      <c r="B34" s="81">
        <v>2423028900</v>
      </c>
      <c r="C34" s="81">
        <v>4860256800</v>
      </c>
      <c r="D34" s="81">
        <v>4148808900</v>
      </c>
      <c r="E34" s="81">
        <v>859719700</v>
      </c>
      <c r="F34" s="81">
        <v>4882684300</v>
      </c>
      <c r="G34" s="76">
        <v>4459705200</v>
      </c>
    </row>
    <row r="35" spans="1:7" x14ac:dyDescent="0.25">
      <c r="A35" s="80" t="s">
        <v>244</v>
      </c>
      <c r="B35" s="81">
        <v>2089856150</v>
      </c>
      <c r="C35" s="81">
        <v>3011952227</v>
      </c>
      <c r="D35" s="81">
        <v>3021312486</v>
      </c>
      <c r="E35" s="81">
        <v>2893591976</v>
      </c>
      <c r="F35" s="81">
        <v>2479350128</v>
      </c>
      <c r="G35" s="81">
        <v>2238191167</v>
      </c>
    </row>
    <row r="36" spans="1:7" x14ac:dyDescent="0.25">
      <c r="A36" s="80" t="s">
        <v>228</v>
      </c>
      <c r="B36" s="81">
        <v>531248900</v>
      </c>
      <c r="C36" s="81">
        <v>785603400</v>
      </c>
      <c r="D36" s="81">
        <v>2475480400</v>
      </c>
      <c r="E36" s="81">
        <v>878820400</v>
      </c>
      <c r="F36" s="81">
        <v>1389495200</v>
      </c>
      <c r="G36" s="76">
        <v>3244525900</v>
      </c>
    </row>
    <row r="37" spans="1:7" x14ac:dyDescent="0.25">
      <c r="A37" s="80" t="s">
        <v>229</v>
      </c>
      <c r="B37" s="81">
        <v>2187894400</v>
      </c>
      <c r="C37" s="81">
        <v>2500320500</v>
      </c>
      <c r="D37" s="81">
        <v>3497511100</v>
      </c>
      <c r="E37" s="81">
        <v>829030800</v>
      </c>
      <c r="F37" s="81">
        <v>3799677800</v>
      </c>
      <c r="G37" s="76">
        <v>2986053000</v>
      </c>
    </row>
    <row r="38" spans="1:7" x14ac:dyDescent="0.25">
      <c r="A38" s="80" t="s">
        <v>230</v>
      </c>
      <c r="B38" s="81">
        <v>4767284200</v>
      </c>
      <c r="C38" s="81">
        <v>1622967600</v>
      </c>
      <c r="D38" s="81">
        <v>4509006600</v>
      </c>
      <c r="E38" s="81">
        <v>1308237500</v>
      </c>
      <c r="F38" s="81">
        <v>3350176900</v>
      </c>
      <c r="G38" s="76">
        <v>756637100</v>
      </c>
    </row>
    <row r="39" spans="1:7" x14ac:dyDescent="0.25">
      <c r="A39" s="82" t="s">
        <v>231</v>
      </c>
      <c r="B39" s="83">
        <f>SUBTOTAL(109,Datasheet!$B$2:$B$38)</f>
        <v>98128569738</v>
      </c>
      <c r="C39" s="83">
        <f>SUBTOTAL(109,Datasheet!$C$2:$C$38)</f>
        <v>98759760731</v>
      </c>
      <c r="D39" s="83">
        <f>SUBTOTAL(109,Datasheet!$D$2:$D$38)</f>
        <v>105145892133</v>
      </c>
      <c r="E39" s="83">
        <f>SUBTOTAL(109,Datasheet!$E$2:$E$38)</f>
        <v>92285400578</v>
      </c>
      <c r="F39" s="83">
        <f>SUBTOTAL(109,Datasheet!$F$2:$F$38)</f>
        <v>110266012225</v>
      </c>
      <c r="G39" s="84">
        <f>SUBTOTAL(109,Datasheet!$G$2:$G$38)</f>
        <v>126752092381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O130"/>
  <sheetViews>
    <sheetView showGridLines="0" workbookViewId="0">
      <selection activeCell="H21" sqref="H21"/>
    </sheetView>
  </sheetViews>
  <sheetFormatPr defaultRowHeight="15" x14ac:dyDescent="0.25"/>
  <cols>
    <col min="1" max="1" width="1.7109375" customWidth="1"/>
    <col min="2" max="2" width="19" customWidth="1"/>
    <col min="6" max="7" width="13.140625" bestFit="1" customWidth="1"/>
    <col min="8" max="8" width="14.28515625" bestFit="1" customWidth="1"/>
    <col min="9" max="10" width="13.28515625" bestFit="1" customWidth="1"/>
    <col min="11" max="11" width="14.28515625" bestFit="1" customWidth="1"/>
    <col min="12" max="15" width="13.140625" bestFit="1" customWidth="1"/>
  </cols>
  <sheetData>
    <row r="1" spans="1:15" ht="19.5" x14ac:dyDescent="0.3">
      <c r="B1" s="5" t="s">
        <v>14</v>
      </c>
      <c r="C1" s="6"/>
      <c r="D1" s="6"/>
      <c r="E1" s="6"/>
      <c r="F1" s="6"/>
      <c r="G1" s="6"/>
      <c r="H1" s="6"/>
      <c r="I1" s="6"/>
      <c r="J1" s="6"/>
      <c r="K1" s="6"/>
      <c r="L1" s="6"/>
      <c r="M1" s="6"/>
      <c r="N1" s="6"/>
      <c r="O1" s="6"/>
    </row>
    <row r="2" spans="1:15" x14ac:dyDescent="0.25">
      <c r="B2" t="s">
        <v>15</v>
      </c>
    </row>
    <row r="3" spans="1:15" x14ac:dyDescent="0.25">
      <c r="A3" t="s">
        <v>16</v>
      </c>
      <c r="B3" s="7" t="s">
        <v>17</v>
      </c>
      <c r="C3" s="6"/>
      <c r="D3" s="6"/>
      <c r="E3" s="6"/>
      <c r="F3" s="6"/>
      <c r="G3" s="6"/>
      <c r="H3" s="6"/>
      <c r="I3" s="6"/>
      <c r="J3" s="6"/>
      <c r="K3" s="6"/>
      <c r="L3" s="6"/>
      <c r="M3" s="6"/>
      <c r="N3" s="6"/>
      <c r="O3" s="6"/>
    </row>
    <row r="4" spans="1:15" x14ac:dyDescent="0.25">
      <c r="F4" s="8"/>
      <c r="G4" s="8"/>
      <c r="H4" s="8"/>
      <c r="I4" s="8"/>
      <c r="J4" s="8"/>
      <c r="K4" s="8"/>
      <c r="L4" s="8"/>
      <c r="M4" s="8"/>
      <c r="N4" s="8"/>
      <c r="O4" s="8"/>
    </row>
    <row r="5" spans="1:15" x14ac:dyDescent="0.25">
      <c r="B5" s="9" t="s">
        <v>18</v>
      </c>
      <c r="C5" s="6"/>
      <c r="D5" s="6"/>
      <c r="E5" s="6"/>
      <c r="F5" s="6">
        <v>2008</v>
      </c>
      <c r="G5" s="6">
        <v>2009</v>
      </c>
      <c r="H5" s="6">
        <v>2010</v>
      </c>
      <c r="I5" s="6">
        <v>2011</v>
      </c>
      <c r="J5" s="6">
        <v>2012</v>
      </c>
      <c r="K5" s="6">
        <f t="shared" ref="K5:O5" si="0">J5+1</f>
        <v>2013</v>
      </c>
      <c r="L5" s="6">
        <f t="shared" si="0"/>
        <v>2014</v>
      </c>
      <c r="M5" s="6">
        <f t="shared" si="0"/>
        <v>2015</v>
      </c>
      <c r="N5" s="6">
        <f t="shared" si="0"/>
        <v>2016</v>
      </c>
      <c r="O5" s="6">
        <f t="shared" si="0"/>
        <v>2017</v>
      </c>
    </row>
    <row r="7" spans="1:15" x14ac:dyDescent="0.25">
      <c r="B7" t="s">
        <v>19</v>
      </c>
      <c r="F7" s="10">
        <v>51742302</v>
      </c>
      <c r="G7" s="10">
        <v>68317303</v>
      </c>
      <c r="H7" s="10">
        <v>82726229</v>
      </c>
      <c r="I7" s="10">
        <v>97961260</v>
      </c>
      <c r="J7" s="10">
        <v>116707394</v>
      </c>
      <c r="K7" s="11">
        <f>J7*(1+K112)</f>
        <v>134213503.09999999</v>
      </c>
      <c r="L7" s="11">
        <f>K7*(1+L112)</f>
        <v>158923436.29961458</v>
      </c>
      <c r="M7" s="11">
        <f>L7*(1+M112)</f>
        <v>187117801.23541242</v>
      </c>
      <c r="N7" s="11">
        <f>M7*(1+N112)</f>
        <v>219998157.67004439</v>
      </c>
      <c r="O7" s="11">
        <f>N7*(1+O112)</f>
        <v>257795915.17812833</v>
      </c>
    </row>
    <row r="8" spans="1:15" x14ac:dyDescent="0.25">
      <c r="B8" s="6" t="s">
        <v>20</v>
      </c>
      <c r="C8" s="6"/>
      <c r="D8" s="6"/>
      <c r="E8" s="6"/>
      <c r="F8" s="12">
        <v>31300680</v>
      </c>
      <c r="G8" s="12">
        <v>39956777</v>
      </c>
      <c r="H8" s="12">
        <v>46495387</v>
      </c>
      <c r="I8" s="12">
        <v>57368192</v>
      </c>
      <c r="J8" s="12">
        <v>66538762</v>
      </c>
      <c r="K8" s="13">
        <f>K7*K113</f>
        <v>78047789.173856899</v>
      </c>
      <c r="L8" s="13">
        <f>L7*L113</f>
        <v>91672881.612415478</v>
      </c>
      <c r="M8" s="13">
        <f>M7*M113</f>
        <v>107635776.20516391</v>
      </c>
      <c r="N8" s="13">
        <f>N7*N113</f>
        <v>127129933.54749782</v>
      </c>
      <c r="O8" s="13">
        <f>O7*O113</f>
        <v>148572314.21066132</v>
      </c>
    </row>
    <row r="9" spans="1:15" x14ac:dyDescent="0.25">
      <c r="B9" s="14" t="s">
        <v>21</v>
      </c>
      <c r="F9" s="15">
        <f>F7-F8</f>
        <v>20441622</v>
      </c>
      <c r="G9" s="15">
        <f t="shared" ref="G9:O9" si="1">G7-G8</f>
        <v>28360526</v>
      </c>
      <c r="H9" s="15">
        <f t="shared" si="1"/>
        <v>36230842</v>
      </c>
      <c r="I9" s="15">
        <f t="shared" si="1"/>
        <v>40593068</v>
      </c>
      <c r="J9" s="15">
        <f t="shared" si="1"/>
        <v>50168632</v>
      </c>
      <c r="K9" s="15">
        <f t="shared" si="1"/>
        <v>56165713.926143095</v>
      </c>
      <c r="L9" s="15">
        <f t="shared" si="1"/>
        <v>67250554.687199101</v>
      </c>
      <c r="M9" s="15">
        <f t="shared" si="1"/>
        <v>79482025.030248508</v>
      </c>
      <c r="N9" s="15">
        <f t="shared" si="1"/>
        <v>92868224.122546569</v>
      </c>
      <c r="O9" s="15">
        <f t="shared" si="1"/>
        <v>109223600.96746701</v>
      </c>
    </row>
    <row r="10" spans="1:15" x14ac:dyDescent="0.25">
      <c r="F10" s="15"/>
      <c r="G10" s="15"/>
      <c r="H10" s="15"/>
      <c r="I10" s="15"/>
      <c r="J10" s="15"/>
      <c r="K10" s="15"/>
      <c r="L10" s="15"/>
      <c r="M10" s="15"/>
      <c r="N10" s="15"/>
      <c r="O10" s="15"/>
    </row>
    <row r="11" spans="1:15" x14ac:dyDescent="0.25">
      <c r="B11" s="6" t="s">
        <v>22</v>
      </c>
      <c r="C11" s="6"/>
      <c r="D11" s="6"/>
      <c r="E11" s="6"/>
      <c r="F11" s="12">
        <v>8537995</v>
      </c>
      <c r="G11" s="12">
        <v>12628323</v>
      </c>
      <c r="H11" s="12">
        <v>17297463</v>
      </c>
      <c r="I11" s="12">
        <v>19078795</v>
      </c>
      <c r="J11" s="12">
        <v>24179063</v>
      </c>
      <c r="K11" s="13">
        <f>K7*K114</f>
        <v>25792782.089616567</v>
      </c>
      <c r="L11" s="13">
        <f>L7*L114</f>
        <v>31404973.092125263</v>
      </c>
      <c r="M11" s="13">
        <f>M7*M114</f>
        <v>37454104.232899822</v>
      </c>
      <c r="N11" s="13">
        <f>N7*N114</f>
        <v>43642642.893039867</v>
      </c>
      <c r="O11" s="13">
        <f>O7*O114</f>
        <v>51327439.652599506</v>
      </c>
    </row>
    <row r="12" spans="1:15" x14ac:dyDescent="0.25">
      <c r="B12" s="14" t="s">
        <v>23</v>
      </c>
      <c r="F12" s="15">
        <f>F9-F11</f>
        <v>11903627</v>
      </c>
      <c r="G12" s="15">
        <f t="shared" ref="G12:O12" si="2">G9-G11</f>
        <v>15732203</v>
      </c>
      <c r="H12" s="15">
        <f t="shared" si="2"/>
        <v>18933379</v>
      </c>
      <c r="I12" s="15">
        <f t="shared" si="2"/>
        <v>21514273</v>
      </c>
      <c r="J12" s="15">
        <f t="shared" si="2"/>
        <v>25989569</v>
      </c>
      <c r="K12" s="15">
        <f t="shared" si="2"/>
        <v>30372931.836526528</v>
      </c>
      <c r="L12" s="15">
        <f t="shared" si="2"/>
        <v>35845581.595073834</v>
      </c>
      <c r="M12" s="15">
        <f t="shared" si="2"/>
        <v>42027920.797348686</v>
      </c>
      <c r="N12" s="15">
        <f t="shared" si="2"/>
        <v>49225581.229506701</v>
      </c>
      <c r="O12" s="15">
        <f t="shared" si="2"/>
        <v>57896161.314867504</v>
      </c>
    </row>
    <row r="13" spans="1:15" x14ac:dyDescent="0.25">
      <c r="F13" s="15"/>
      <c r="G13" s="15"/>
      <c r="H13" s="15"/>
      <c r="I13" s="15"/>
      <c r="J13" s="15"/>
      <c r="K13" s="15"/>
      <c r="L13" s="15"/>
      <c r="M13" s="15"/>
      <c r="N13" s="15"/>
      <c r="O13" s="15"/>
    </row>
    <row r="14" spans="1:15" x14ac:dyDescent="0.25">
      <c r="B14" s="6" t="s">
        <v>24</v>
      </c>
      <c r="C14" s="6"/>
      <c r="D14" s="6"/>
      <c r="E14" s="6"/>
      <c r="F14" s="12">
        <v>-41414</v>
      </c>
      <c r="G14" s="12">
        <v>-1948959</v>
      </c>
      <c r="H14" s="12">
        <v>-688925</v>
      </c>
      <c r="I14" s="12">
        <v>-3315024</v>
      </c>
      <c r="J14" s="12">
        <v>-939397</v>
      </c>
      <c r="K14" s="13">
        <f>K7*K120</f>
        <v>-2135216.5853569191</v>
      </c>
      <c r="L14" s="13">
        <f>L7*L120</f>
        <v>-3008555.2474788474</v>
      </c>
      <c r="M14" s="13">
        <f>M7*M120</f>
        <v>-3183137.1863645986</v>
      </c>
      <c r="N14" s="13">
        <f>N7*N120</f>
        <v>-4124555.1909163329</v>
      </c>
      <c r="O14" s="13">
        <f>O7*O120</f>
        <v>-4055060.5595285725</v>
      </c>
    </row>
    <row r="15" spans="1:15" x14ac:dyDescent="0.25">
      <c r="B15" s="14" t="s">
        <v>25</v>
      </c>
      <c r="F15" s="15">
        <f>F12+F14</f>
        <v>11862213</v>
      </c>
      <c r="G15" s="15">
        <f t="shared" ref="G15:O15" si="3">G12+G14</f>
        <v>13783244</v>
      </c>
      <c r="H15" s="15">
        <f t="shared" si="3"/>
        <v>18244454</v>
      </c>
      <c r="I15" s="15">
        <f t="shared" si="3"/>
        <v>18199249</v>
      </c>
      <c r="J15" s="15">
        <f t="shared" si="3"/>
        <v>25050172</v>
      </c>
      <c r="K15" s="15">
        <f t="shared" si="3"/>
        <v>28237715.251169607</v>
      </c>
      <c r="L15" s="15">
        <f t="shared" si="3"/>
        <v>32837026.347594988</v>
      </c>
      <c r="M15" s="15">
        <f t="shared" si="3"/>
        <v>38844783.610984087</v>
      </c>
      <c r="N15" s="15">
        <f t="shared" si="3"/>
        <v>45101026.038590372</v>
      </c>
      <c r="O15" s="15">
        <f t="shared" si="3"/>
        <v>53841100.75533893</v>
      </c>
    </row>
    <row r="16" spans="1:15" x14ac:dyDescent="0.25">
      <c r="F16" s="15"/>
      <c r="G16" s="15"/>
      <c r="H16" s="15"/>
      <c r="I16" s="15"/>
      <c r="J16" s="15"/>
      <c r="K16" s="15"/>
      <c r="L16" s="15"/>
      <c r="M16" s="15"/>
      <c r="N16" s="15"/>
      <c r="O16" s="15"/>
    </row>
    <row r="17" spans="1:15" x14ac:dyDescent="0.25">
      <c r="B17" t="s">
        <v>26</v>
      </c>
      <c r="F17" s="16">
        <v>3530614</v>
      </c>
      <c r="G17" s="16">
        <v>3999666</v>
      </c>
      <c r="H17" s="16">
        <v>5642345</v>
      </c>
      <c r="I17" s="16">
        <v>1702796</v>
      </c>
      <c r="J17" s="16">
        <v>3912897</v>
      </c>
      <c r="K17" s="15">
        <f>K7*K121</f>
        <v>6600480.2746756831</v>
      </c>
      <c r="L17" s="15">
        <f>L7*L121</f>
        <v>7210012.224463108</v>
      </c>
      <c r="M17" s="15">
        <f>M7*M121</f>
        <v>7995976.9303574758</v>
      </c>
      <c r="N17" s="15">
        <f>N7*N121</f>
        <v>8280240.611315392</v>
      </c>
      <c r="O17" s="15">
        <f>O7*O121</f>
        <v>10747217.524350941</v>
      </c>
    </row>
    <row r="18" spans="1:15" x14ac:dyDescent="0.25">
      <c r="F18" s="15"/>
      <c r="G18" s="15"/>
      <c r="H18" s="15"/>
      <c r="I18" s="15"/>
      <c r="J18" s="15"/>
      <c r="K18" s="15"/>
      <c r="L18" s="15"/>
      <c r="M18" s="15"/>
      <c r="N18" s="15"/>
      <c r="O18" s="15"/>
    </row>
    <row r="19" spans="1:15" x14ac:dyDescent="0.25">
      <c r="B19" s="17" t="s">
        <v>27</v>
      </c>
      <c r="C19" s="18"/>
      <c r="D19" s="18"/>
      <c r="E19" s="18"/>
      <c r="F19" s="19">
        <f>F15-F17</f>
        <v>8331599</v>
      </c>
      <c r="G19" s="19">
        <f t="shared" ref="G19:O19" si="4">G15-G17</f>
        <v>9783578</v>
      </c>
      <c r="H19" s="19">
        <f t="shared" si="4"/>
        <v>12602109</v>
      </c>
      <c r="I19" s="19">
        <f t="shared" si="4"/>
        <v>16496453</v>
      </c>
      <c r="J19" s="19">
        <f t="shared" si="4"/>
        <v>21137275</v>
      </c>
      <c r="K19" s="19">
        <f t="shared" si="4"/>
        <v>21637234.976493925</v>
      </c>
      <c r="L19" s="19">
        <f t="shared" si="4"/>
        <v>25627014.123131879</v>
      </c>
      <c r="M19" s="19">
        <f t="shared" si="4"/>
        <v>30848806.680626612</v>
      </c>
      <c r="N19" s="19">
        <f t="shared" si="4"/>
        <v>36820785.42727498</v>
      </c>
      <c r="O19" s="19">
        <f t="shared" si="4"/>
        <v>43093883.230987988</v>
      </c>
    </row>
    <row r="21" spans="1:15" x14ac:dyDescent="0.25">
      <c r="G21" s="15"/>
      <c r="H21" s="15"/>
      <c r="I21" s="15"/>
      <c r="J21" s="15"/>
      <c r="K21" s="15"/>
      <c r="L21" s="15"/>
    </row>
    <row r="22" spans="1:15" x14ac:dyDescent="0.25">
      <c r="A22" t="s">
        <v>16</v>
      </c>
      <c r="B22" s="7" t="s">
        <v>28</v>
      </c>
      <c r="C22" s="6"/>
      <c r="D22" s="6"/>
      <c r="E22" s="6"/>
      <c r="F22" s="6"/>
      <c r="G22" s="6"/>
      <c r="H22" s="6"/>
      <c r="I22" s="20"/>
      <c r="J22" s="20"/>
      <c r="K22" s="6"/>
      <c r="L22" s="6"/>
      <c r="M22" s="6"/>
      <c r="N22" s="6"/>
      <c r="O22" s="6"/>
    </row>
    <row r="23" spans="1:15" x14ac:dyDescent="0.25">
      <c r="F23" s="8"/>
      <c r="G23" s="8"/>
      <c r="H23" s="8"/>
      <c r="I23" s="8"/>
      <c r="J23" s="8"/>
      <c r="K23" s="8"/>
      <c r="L23" s="8"/>
      <c r="M23" s="8"/>
      <c r="N23" s="8"/>
      <c r="O23" s="8"/>
    </row>
    <row r="24" spans="1:15" x14ac:dyDescent="0.25">
      <c r="B24" s="9" t="s">
        <v>18</v>
      </c>
      <c r="C24" s="6"/>
      <c r="D24" s="6"/>
      <c r="E24" s="6"/>
      <c r="F24" s="6">
        <v>2008</v>
      </c>
      <c r="G24" s="6">
        <v>2009</v>
      </c>
      <c r="H24" s="6">
        <v>2010</v>
      </c>
      <c r="I24" s="6">
        <v>2011</v>
      </c>
      <c r="J24" s="6">
        <v>2012</v>
      </c>
      <c r="K24" s="6">
        <f t="shared" ref="K24:O24" si="5">J24+1</f>
        <v>2013</v>
      </c>
      <c r="L24" s="6">
        <f t="shared" si="5"/>
        <v>2014</v>
      </c>
      <c r="M24" s="6">
        <f t="shared" si="5"/>
        <v>2015</v>
      </c>
      <c r="N24" s="6">
        <f t="shared" si="5"/>
        <v>2016</v>
      </c>
      <c r="O24" s="6">
        <f t="shared" si="5"/>
        <v>2017</v>
      </c>
    </row>
    <row r="26" spans="1:15" x14ac:dyDescent="0.25">
      <c r="B26" s="21" t="s">
        <v>29</v>
      </c>
      <c r="G26" s="15"/>
      <c r="H26" s="15"/>
      <c r="I26" s="15"/>
      <c r="J26" s="15"/>
      <c r="K26" s="15"/>
    </row>
    <row r="27" spans="1:15" x14ac:dyDescent="0.25">
      <c r="G27" s="15"/>
      <c r="H27" s="15"/>
      <c r="I27" s="15"/>
      <c r="J27" s="15"/>
      <c r="K27" s="15"/>
    </row>
    <row r="28" spans="1:15" x14ac:dyDescent="0.25">
      <c r="B28" s="22" t="s">
        <v>30</v>
      </c>
    </row>
    <row r="29" spans="1:15" x14ac:dyDescent="0.25">
      <c r="B29" t="s">
        <v>31</v>
      </c>
      <c r="F29" s="10">
        <v>3643133</v>
      </c>
      <c r="G29" s="10">
        <v>3664741</v>
      </c>
      <c r="H29" s="10">
        <v>3092702</v>
      </c>
      <c r="I29" s="10">
        <v>1069888</v>
      </c>
      <c r="J29" s="10">
        <v>3814065</v>
      </c>
      <c r="K29" s="11">
        <f>K103</f>
        <v>27702334.099201802</v>
      </c>
      <c r="L29" s="11">
        <f t="shared" ref="L29:O29" si="6">L103</f>
        <v>54229383.839181185</v>
      </c>
      <c r="M29" s="11">
        <f t="shared" si="6"/>
        <v>85370249.162465021</v>
      </c>
      <c r="N29" s="11">
        <f t="shared" si="6"/>
        <v>123390184.72810814</v>
      </c>
      <c r="O29" s="11">
        <f t="shared" si="6"/>
        <v>167507056.12697753</v>
      </c>
    </row>
    <row r="30" spans="1:15" x14ac:dyDescent="0.25">
      <c r="B30" t="s">
        <v>32</v>
      </c>
      <c r="F30" s="16">
        <v>122627</v>
      </c>
      <c r="G30" s="16">
        <v>27536</v>
      </c>
      <c r="H30" s="16">
        <v>30608</v>
      </c>
      <c r="I30" s="16">
        <v>10983142</v>
      </c>
      <c r="J30" s="16">
        <v>13457105</v>
      </c>
      <c r="K30" s="23">
        <f t="shared" ref="K30:O33" si="7">K124*K$7</f>
        <v>7656766.6689211885</v>
      </c>
      <c r="L30" s="23">
        <f t="shared" si="7"/>
        <v>9066447.4278915413</v>
      </c>
      <c r="M30" s="23">
        <f t="shared" si="7"/>
        <v>12794810.523738641</v>
      </c>
      <c r="N30" s="23">
        <f t="shared" si="7"/>
        <v>18035459.411734577</v>
      </c>
      <c r="O30" s="23">
        <f t="shared" si="7"/>
        <v>19580274.498674326</v>
      </c>
    </row>
    <row r="31" spans="1:15" x14ac:dyDescent="0.25">
      <c r="B31" t="s">
        <v>33</v>
      </c>
      <c r="F31" s="16">
        <v>6415165</v>
      </c>
      <c r="G31" s="16">
        <v>10697567</v>
      </c>
      <c r="H31" s="16">
        <v>8494039</v>
      </c>
      <c r="I31" s="16">
        <v>9902238</v>
      </c>
      <c r="J31" s="16">
        <v>8784909</v>
      </c>
      <c r="K31" s="23">
        <f t="shared" si="7"/>
        <v>14616492.475309096</v>
      </c>
      <c r="L31" s="23">
        <f t="shared" si="7"/>
        <v>17307522.396556694</v>
      </c>
      <c r="M31" s="23">
        <f t="shared" si="7"/>
        <v>18593604.205257636</v>
      </c>
      <c r="N31" s="23">
        <f t="shared" si="7"/>
        <v>21715320.938736275</v>
      </c>
      <c r="O31" s="23">
        <f t="shared" si="7"/>
        <v>25323693.95341675</v>
      </c>
    </row>
    <row r="32" spans="1:15" x14ac:dyDescent="0.25">
      <c r="B32" t="s">
        <v>34</v>
      </c>
      <c r="F32" s="16">
        <v>5161279</v>
      </c>
      <c r="G32" s="16">
        <v>7457342</v>
      </c>
      <c r="H32" s="16">
        <v>8487974</v>
      </c>
      <c r="I32" s="16">
        <v>255137</v>
      </c>
      <c r="J32" s="16">
        <v>300066</v>
      </c>
      <c r="K32" s="23">
        <f t="shared" si="7"/>
        <v>7278941.3177435566</v>
      </c>
      <c r="L32" s="23">
        <f t="shared" si="7"/>
        <v>8619060.9746408649</v>
      </c>
      <c r="M32" s="23">
        <f t="shared" si="7"/>
        <v>8092726.4703539452</v>
      </c>
      <c r="N32" s="23">
        <f t="shared" si="7"/>
        <v>6903235.2635362158</v>
      </c>
      <c r="O32" s="23">
        <f t="shared" si="7"/>
        <v>9572847.1342743374</v>
      </c>
    </row>
    <row r="33" spans="2:15" x14ac:dyDescent="0.25">
      <c r="B33" s="6" t="s">
        <v>35</v>
      </c>
      <c r="C33" s="6"/>
      <c r="D33" s="6"/>
      <c r="E33" s="6"/>
      <c r="F33" s="12">
        <v>0</v>
      </c>
      <c r="G33" s="12">
        <v>0</v>
      </c>
      <c r="H33" s="12">
        <v>0</v>
      </c>
      <c r="I33" s="12">
        <v>0</v>
      </c>
      <c r="J33" s="12">
        <v>0</v>
      </c>
      <c r="K33" s="13">
        <f t="shared" si="7"/>
        <v>0</v>
      </c>
      <c r="L33" s="13">
        <f t="shared" si="7"/>
        <v>0</v>
      </c>
      <c r="M33" s="13">
        <f t="shared" si="7"/>
        <v>0</v>
      </c>
      <c r="N33" s="13">
        <f t="shared" si="7"/>
        <v>0</v>
      </c>
      <c r="O33" s="13">
        <f t="shared" si="7"/>
        <v>0</v>
      </c>
    </row>
    <row r="34" spans="2:15" x14ac:dyDescent="0.25">
      <c r="B34" s="14" t="s">
        <v>36</v>
      </c>
      <c r="F34" s="15">
        <f t="shared" ref="F34:H34" si="8">SUM(F29:F33)</f>
        <v>15342204</v>
      </c>
      <c r="G34" s="15">
        <f t="shared" si="8"/>
        <v>21847186</v>
      </c>
      <c r="H34" s="15">
        <f t="shared" si="8"/>
        <v>20105323</v>
      </c>
      <c r="I34" s="15">
        <f>SUM(I29:I33)</f>
        <v>22210405</v>
      </c>
      <c r="J34" s="15">
        <f>SUM(J29:J33)</f>
        <v>26356145</v>
      </c>
      <c r="K34" s="15">
        <f t="shared" ref="K34:O34" si="9">SUM(K29:K33)</f>
        <v>57254534.561175644</v>
      </c>
      <c r="L34" s="15">
        <f t="shared" si="9"/>
        <v>89222414.638270274</v>
      </c>
      <c r="M34" s="15">
        <f t="shared" si="9"/>
        <v>124851390.36181524</v>
      </c>
      <c r="N34" s="15">
        <f t="shared" si="9"/>
        <v>170044200.34211522</v>
      </c>
      <c r="O34" s="15">
        <f t="shared" si="9"/>
        <v>221983871.71334293</v>
      </c>
    </row>
    <row r="35" spans="2:15" x14ac:dyDescent="0.25">
      <c r="I35" s="15"/>
      <c r="J35" s="15"/>
      <c r="K35" s="15"/>
      <c r="L35" s="15"/>
      <c r="M35" s="15"/>
      <c r="N35" s="15"/>
      <c r="O35" s="15"/>
    </row>
    <row r="36" spans="2:15" x14ac:dyDescent="0.25">
      <c r="B36" t="s">
        <v>37</v>
      </c>
      <c r="F36" s="16">
        <v>13817348</v>
      </c>
      <c r="G36" s="16">
        <v>25404616</v>
      </c>
      <c r="H36" s="16">
        <v>40241739</v>
      </c>
      <c r="I36" s="16">
        <v>55017927</v>
      </c>
      <c r="J36" s="16">
        <v>62159796</v>
      </c>
      <c r="K36" s="15">
        <v>8444</v>
      </c>
      <c r="L36" s="15">
        <v>8444</v>
      </c>
      <c r="M36" s="15">
        <v>8444</v>
      </c>
      <c r="N36" s="15">
        <v>8444</v>
      </c>
      <c r="O36" s="15">
        <v>8444</v>
      </c>
    </row>
    <row r="37" spans="2:15" x14ac:dyDescent="0.25">
      <c r="B37" t="s">
        <v>38</v>
      </c>
      <c r="F37" s="16"/>
      <c r="G37" s="16">
        <v>0</v>
      </c>
      <c r="H37" s="16">
        <v>0</v>
      </c>
      <c r="I37" s="16">
        <v>131737</v>
      </c>
      <c r="J37" s="16">
        <v>26347</v>
      </c>
      <c r="K37" s="15">
        <v>8107</v>
      </c>
      <c r="L37" s="15">
        <v>8107</v>
      </c>
      <c r="M37" s="15">
        <v>8107</v>
      </c>
      <c r="N37" s="15">
        <v>8107</v>
      </c>
      <c r="O37" s="15">
        <v>8107</v>
      </c>
    </row>
    <row r="38" spans="2:15" x14ac:dyDescent="0.25">
      <c r="B38" t="s">
        <v>39</v>
      </c>
      <c r="F38" s="16"/>
      <c r="G38" s="16">
        <v>0</v>
      </c>
      <c r="H38" s="16">
        <v>0</v>
      </c>
      <c r="I38" s="16">
        <v>368224</v>
      </c>
      <c r="J38" s="16">
        <v>420930</v>
      </c>
      <c r="K38" s="15">
        <v>3539</v>
      </c>
      <c r="L38" s="15">
        <v>3539</v>
      </c>
      <c r="M38" s="15">
        <v>3539</v>
      </c>
      <c r="N38" s="15">
        <v>3539</v>
      </c>
      <c r="O38" s="15">
        <v>3539</v>
      </c>
    </row>
    <row r="39" spans="2:15" x14ac:dyDescent="0.25">
      <c r="I39" s="24"/>
      <c r="J39" s="24"/>
    </row>
    <row r="40" spans="2:15" x14ac:dyDescent="0.25">
      <c r="B40" s="17" t="s">
        <v>40</v>
      </c>
      <c r="C40" s="18"/>
      <c r="D40" s="18"/>
      <c r="E40" s="18"/>
      <c r="F40" s="19">
        <f t="shared" ref="F40:H40" si="10">SUM(F34:F39)</f>
        <v>29159552</v>
      </c>
      <c r="G40" s="19">
        <f t="shared" si="10"/>
        <v>47251802</v>
      </c>
      <c r="H40" s="19">
        <f t="shared" si="10"/>
        <v>60347062</v>
      </c>
      <c r="I40" s="19">
        <f>SUM(I34:I39)</f>
        <v>77728293</v>
      </c>
      <c r="J40" s="19">
        <f>SUM(J34:J39)</f>
        <v>88963218</v>
      </c>
      <c r="K40" s="19">
        <f t="shared" ref="K40:O40" si="11">SUM(K34:K39)</f>
        <v>57274624.561175644</v>
      </c>
      <c r="L40" s="19">
        <f t="shared" si="11"/>
        <v>89242504.638270274</v>
      </c>
      <c r="M40" s="19">
        <f t="shared" si="11"/>
        <v>124871480.36181524</v>
      </c>
      <c r="N40" s="19">
        <f t="shared" si="11"/>
        <v>170064290.34211522</v>
      </c>
      <c r="O40" s="19">
        <f t="shared" si="11"/>
        <v>222003961.71334293</v>
      </c>
    </row>
    <row r="42" spans="2:15" x14ac:dyDescent="0.25">
      <c r="B42" s="21" t="s">
        <v>41</v>
      </c>
      <c r="G42" s="15"/>
      <c r="I42" s="15"/>
      <c r="J42" s="15"/>
      <c r="K42" s="15">
        <f>SUM(G42:J42)</f>
        <v>0</v>
      </c>
    </row>
    <row r="43" spans="2:15" x14ac:dyDescent="0.25">
      <c r="G43" s="15"/>
      <c r="H43" s="15"/>
      <c r="I43" s="15"/>
      <c r="J43" s="15"/>
      <c r="K43" s="15">
        <f>SUM(G43:J43)</f>
        <v>0</v>
      </c>
    </row>
    <row r="44" spans="2:15" x14ac:dyDescent="0.25">
      <c r="B44" s="22" t="s">
        <v>42</v>
      </c>
      <c r="I44" s="15"/>
      <c r="J44" s="15"/>
      <c r="K44" s="15"/>
      <c r="L44" s="15"/>
      <c r="M44" s="15"/>
      <c r="N44" s="15"/>
      <c r="O44" s="15"/>
    </row>
    <row r="45" spans="2:15" x14ac:dyDescent="0.25">
      <c r="B45" t="s">
        <v>43</v>
      </c>
      <c r="F45" s="16">
        <v>0</v>
      </c>
      <c r="G45" s="16">
        <v>4900799</v>
      </c>
      <c r="H45" s="16">
        <v>3398377</v>
      </c>
      <c r="I45" s="16">
        <v>7611914</v>
      </c>
      <c r="J45" s="16">
        <v>3457431</v>
      </c>
      <c r="K45" s="23">
        <f t="shared" ref="K45:O47" si="12">K128*K$7</f>
        <v>7386565.2473528162</v>
      </c>
      <c r="L45" s="23">
        <f t="shared" si="12"/>
        <v>8746499.4538289644</v>
      </c>
      <c r="M45" s="23">
        <f t="shared" si="12"/>
        <v>9673232.664720919</v>
      </c>
      <c r="N45" s="23">
        <f t="shared" si="12"/>
        <v>11840120.653451199</v>
      </c>
      <c r="O45" s="23">
        <f t="shared" si="12"/>
        <v>12642918.902718939</v>
      </c>
    </row>
    <row r="46" spans="2:15" x14ac:dyDescent="0.25">
      <c r="B46" t="s">
        <v>44</v>
      </c>
      <c r="F46" s="16">
        <v>3001440</v>
      </c>
      <c r="G46" s="16">
        <v>4114153</v>
      </c>
      <c r="H46" s="16">
        <v>4085379</v>
      </c>
      <c r="I46" s="16">
        <v>14525707</v>
      </c>
      <c r="J46" s="16">
        <v>19003142</v>
      </c>
      <c r="K46" s="23">
        <f t="shared" si="12"/>
        <v>14116338.643668767</v>
      </c>
      <c r="L46" s="23">
        <f t="shared" si="12"/>
        <v>16715285.67099059</v>
      </c>
      <c r="M46" s="23">
        <f t="shared" si="12"/>
        <v>21363169.503790706</v>
      </c>
      <c r="N46" s="23">
        <f t="shared" si="12"/>
        <v>27967636.911120068</v>
      </c>
      <c r="O46" s="23">
        <f t="shared" si="12"/>
        <v>31682087.071614556</v>
      </c>
    </row>
    <row r="47" spans="2:15" x14ac:dyDescent="0.25">
      <c r="B47" s="6" t="s">
        <v>45</v>
      </c>
      <c r="C47" s="6"/>
      <c r="D47" s="6"/>
      <c r="E47" s="6"/>
      <c r="F47" s="12">
        <v>8092177</v>
      </c>
      <c r="G47" s="12">
        <v>12997446</v>
      </c>
      <c r="H47" s="12">
        <v>11971543</v>
      </c>
      <c r="I47" s="12">
        <v>2677214</v>
      </c>
      <c r="J47" s="12">
        <v>2719071</v>
      </c>
      <c r="K47" s="13">
        <f t="shared" si="12"/>
        <v>12937894.693660133</v>
      </c>
      <c r="L47" s="13">
        <f t="shared" si="12"/>
        <v>15319879.413824925</v>
      </c>
      <c r="M47" s="13">
        <f t="shared" si="12"/>
        <v>14525431.413051205</v>
      </c>
      <c r="N47" s="13">
        <f t="shared" si="12"/>
        <v>14126100.570016559</v>
      </c>
      <c r="O47" s="13">
        <f t="shared" si="12"/>
        <v>18454640.300494064</v>
      </c>
    </row>
    <row r="48" spans="2:15" x14ac:dyDescent="0.25">
      <c r="B48" s="14" t="s">
        <v>46</v>
      </c>
      <c r="F48" s="15">
        <f t="shared" ref="F48:H48" si="13">SUM(F45:F47)</f>
        <v>11093617</v>
      </c>
      <c r="G48" s="15">
        <f t="shared" si="13"/>
        <v>22012398</v>
      </c>
      <c r="H48" s="15">
        <f t="shared" si="13"/>
        <v>19455299</v>
      </c>
      <c r="I48" s="15">
        <f>SUM(I45:I47)</f>
        <v>24814835</v>
      </c>
      <c r="J48" s="15">
        <f t="shared" ref="J48:O48" si="14">SUM(J45:J47)</f>
        <v>25179644</v>
      </c>
      <c r="K48" s="15">
        <f t="shared" si="14"/>
        <v>34440798.58468172</v>
      </c>
      <c r="L48" s="15">
        <f t="shared" si="14"/>
        <v>40781664.538644478</v>
      </c>
      <c r="M48" s="15">
        <f t="shared" si="14"/>
        <v>45561833.581562832</v>
      </c>
      <c r="N48" s="15">
        <f t="shared" si="14"/>
        <v>53933858.134587824</v>
      </c>
      <c r="O48" s="15">
        <f t="shared" si="14"/>
        <v>62779646.274827555</v>
      </c>
    </row>
    <row r="49" spans="2:15" x14ac:dyDescent="0.25">
      <c r="G49" s="11"/>
      <c r="H49" s="11"/>
      <c r="I49" s="15"/>
      <c r="J49" s="15"/>
      <c r="K49" s="15"/>
      <c r="L49" s="15"/>
      <c r="M49" s="15"/>
      <c r="N49" s="15"/>
      <c r="O49" s="15"/>
    </row>
    <row r="50" spans="2:15" x14ac:dyDescent="0.25">
      <c r="B50" t="s">
        <v>47</v>
      </c>
      <c r="F50" s="25">
        <v>5980438</v>
      </c>
      <c r="G50" s="25">
        <v>11921190</v>
      </c>
      <c r="H50" s="25">
        <v>22327896</v>
      </c>
      <c r="I50" s="16">
        <v>25870684</v>
      </c>
      <c r="J50" s="16">
        <v>23556616</v>
      </c>
      <c r="K50" s="15"/>
      <c r="L50" s="15"/>
      <c r="M50" s="15"/>
      <c r="N50" s="15"/>
      <c r="O50" s="15"/>
    </row>
    <row r="51" spans="2:15" x14ac:dyDescent="0.25">
      <c r="B51" t="s">
        <v>35</v>
      </c>
      <c r="F51" s="25">
        <v>2606588</v>
      </c>
      <c r="G51" s="25">
        <v>2103233</v>
      </c>
      <c r="H51" s="25">
        <v>2985848</v>
      </c>
      <c r="I51" s="16">
        <v>3070249</v>
      </c>
      <c r="J51" s="16">
        <v>4958723</v>
      </c>
      <c r="K51" s="15">
        <v>7408</v>
      </c>
      <c r="L51" s="15">
        <v>7408</v>
      </c>
      <c r="M51" s="15">
        <v>7408</v>
      </c>
      <c r="N51" s="15">
        <v>7408</v>
      </c>
      <c r="O51" s="15">
        <v>7408</v>
      </c>
    </row>
    <row r="52" spans="2:15" x14ac:dyDescent="0.25">
      <c r="B52" t="s">
        <v>48</v>
      </c>
      <c r="F52" s="25">
        <v>447669</v>
      </c>
      <c r="G52" s="25">
        <v>671046</v>
      </c>
      <c r="H52" s="25">
        <v>712666</v>
      </c>
      <c r="I52" s="16">
        <v>762541</v>
      </c>
      <c r="J52" s="16">
        <v>1082673</v>
      </c>
      <c r="K52" s="15">
        <v>5807</v>
      </c>
      <c r="L52" s="15">
        <v>5807</v>
      </c>
      <c r="M52" s="15">
        <v>5807</v>
      </c>
      <c r="N52" s="15">
        <v>5807</v>
      </c>
      <c r="O52" s="15">
        <v>5807</v>
      </c>
    </row>
    <row r="53" spans="2:15" x14ac:dyDescent="0.25">
      <c r="B53" t="s">
        <v>49</v>
      </c>
      <c r="F53" s="25">
        <v>0</v>
      </c>
      <c r="G53" s="25">
        <v>0</v>
      </c>
      <c r="H53" s="25">
        <v>0</v>
      </c>
      <c r="I53" s="16">
        <v>0</v>
      </c>
      <c r="J53" s="16">
        <v>0</v>
      </c>
      <c r="K53" s="15">
        <v>0</v>
      </c>
      <c r="L53" s="15">
        <v>0</v>
      </c>
      <c r="M53" s="15">
        <v>0</v>
      </c>
      <c r="N53" s="15">
        <v>0</v>
      </c>
      <c r="O53" s="15">
        <v>0</v>
      </c>
    </row>
    <row r="54" spans="2:15" x14ac:dyDescent="0.25">
      <c r="F54" s="11"/>
      <c r="H54" s="25"/>
      <c r="I54" s="16"/>
      <c r="J54" s="16"/>
      <c r="K54" s="15"/>
      <c r="L54" s="15"/>
      <c r="M54" s="15"/>
      <c r="N54" s="15"/>
      <c r="O54" s="15"/>
    </row>
    <row r="55" spans="2:15" x14ac:dyDescent="0.25">
      <c r="B55" s="17" t="s">
        <v>50</v>
      </c>
      <c r="C55" s="18"/>
      <c r="D55" s="18"/>
      <c r="E55" s="18"/>
      <c r="F55" s="19">
        <f t="shared" ref="F55:H55" si="15">SUM(F48:F54)</f>
        <v>20128312</v>
      </c>
      <c r="G55" s="19">
        <f t="shared" si="15"/>
        <v>36707867</v>
      </c>
      <c r="H55" s="19">
        <f t="shared" si="15"/>
        <v>45481709</v>
      </c>
      <c r="I55" s="19">
        <f>SUM(I48:I54)</f>
        <v>54518309</v>
      </c>
      <c r="J55" s="19">
        <f t="shared" ref="J55:O55" si="16">SUM(J48:J54)</f>
        <v>54777656</v>
      </c>
      <c r="K55" s="19">
        <f t="shared" si="16"/>
        <v>34454013.58468172</v>
      </c>
      <c r="L55" s="19">
        <f t="shared" si="16"/>
        <v>40794879.538644478</v>
      </c>
      <c r="M55" s="19">
        <f t="shared" si="16"/>
        <v>45575048.581562832</v>
      </c>
      <c r="N55" s="19">
        <f t="shared" si="16"/>
        <v>53947073.134587824</v>
      </c>
      <c r="O55" s="19">
        <f t="shared" si="16"/>
        <v>62792861.274827555</v>
      </c>
    </row>
    <row r="56" spans="2:15" x14ac:dyDescent="0.25">
      <c r="F56" s="11"/>
      <c r="G56" s="11"/>
      <c r="H56" s="11"/>
    </row>
    <row r="57" spans="2:15" x14ac:dyDescent="0.25">
      <c r="B57" s="22" t="s">
        <v>51</v>
      </c>
    </row>
    <row r="58" spans="2:15" x14ac:dyDescent="0.25">
      <c r="B58" t="s">
        <v>52</v>
      </c>
      <c r="F58" s="16">
        <v>0</v>
      </c>
      <c r="G58" s="16">
        <v>0</v>
      </c>
      <c r="H58" s="16">
        <v>0</v>
      </c>
      <c r="I58" s="16">
        <v>0</v>
      </c>
      <c r="J58" s="16">
        <v>0</v>
      </c>
      <c r="K58" s="15">
        <v>0</v>
      </c>
      <c r="L58" s="15">
        <v>0</v>
      </c>
      <c r="M58" s="15">
        <v>0</v>
      </c>
      <c r="N58" s="15">
        <v>0</v>
      </c>
      <c r="O58" s="15">
        <v>0</v>
      </c>
    </row>
    <row r="59" spans="2:15" x14ac:dyDescent="0.25">
      <c r="B59" t="s">
        <v>53</v>
      </c>
      <c r="F59" s="16">
        <v>330273</v>
      </c>
      <c r="G59" s="16">
        <v>330273</v>
      </c>
      <c r="H59" s="16">
        <v>330273</v>
      </c>
      <c r="I59" s="16">
        <v>396328</v>
      </c>
      <c r="J59" s="16">
        <v>396328</v>
      </c>
      <c r="K59" s="15">
        <v>236</v>
      </c>
      <c r="L59" s="15">
        <v>236</v>
      </c>
      <c r="M59" s="15">
        <v>236</v>
      </c>
      <c r="N59" s="15">
        <v>236</v>
      </c>
      <c r="O59" s="15">
        <v>236</v>
      </c>
    </row>
    <row r="60" spans="2:15" x14ac:dyDescent="0.25">
      <c r="B60" t="s">
        <v>54</v>
      </c>
      <c r="F60" s="16">
        <v>186491</v>
      </c>
      <c r="G60" s="16">
        <v>186491</v>
      </c>
      <c r="H60" s="16">
        <v>186491</v>
      </c>
      <c r="I60" s="16">
        <v>0</v>
      </c>
      <c r="J60" s="16">
        <v>0</v>
      </c>
      <c r="K60" s="15">
        <v>52</v>
      </c>
      <c r="L60" s="15">
        <v>52</v>
      </c>
      <c r="M60" s="15">
        <v>52</v>
      </c>
      <c r="N60" s="15">
        <v>52</v>
      </c>
      <c r="O60" s="15">
        <v>52</v>
      </c>
    </row>
    <row r="61" spans="2:15" x14ac:dyDescent="0.25">
      <c r="B61" t="s">
        <v>55</v>
      </c>
      <c r="F61" s="16">
        <v>32262</v>
      </c>
      <c r="G61" s="16">
        <v>32262</v>
      </c>
      <c r="H61" s="16">
        <v>32262</v>
      </c>
      <c r="I61" s="16">
        <v>32262</v>
      </c>
      <c r="J61" s="16">
        <v>32262</v>
      </c>
      <c r="K61" s="15">
        <v>47902</v>
      </c>
      <c r="L61" s="15">
        <v>47902</v>
      </c>
      <c r="M61" s="15">
        <v>47902</v>
      </c>
      <c r="N61" s="15">
        <v>47902</v>
      </c>
      <c r="O61" s="15">
        <v>47902</v>
      </c>
    </row>
    <row r="62" spans="2:15" x14ac:dyDescent="0.25">
      <c r="B62" t="s">
        <v>56</v>
      </c>
      <c r="F62" s="16">
        <v>0</v>
      </c>
      <c r="G62" s="16">
        <v>0</v>
      </c>
      <c r="H62" s="16">
        <v>0</v>
      </c>
      <c r="I62" s="16">
        <v>76903</v>
      </c>
      <c r="J62" s="16">
        <v>49543</v>
      </c>
      <c r="K62" s="15">
        <v>-89135</v>
      </c>
      <c r="L62" s="15">
        <v>-89135</v>
      </c>
      <c r="M62" s="15">
        <v>-89135</v>
      </c>
      <c r="N62" s="15">
        <v>-89135</v>
      </c>
      <c r="O62" s="15">
        <v>-89135</v>
      </c>
    </row>
    <row r="63" spans="2:15" x14ac:dyDescent="0.25">
      <c r="B63" t="s">
        <v>57</v>
      </c>
      <c r="F63" s="16">
        <v>8482214</v>
      </c>
      <c r="G63" s="16">
        <v>9994909</v>
      </c>
      <c r="H63" s="16">
        <v>14316327</v>
      </c>
      <c r="I63" s="16">
        <v>22704491</v>
      </c>
      <c r="J63" s="16">
        <v>33707429</v>
      </c>
      <c r="K63" s="15">
        <f>J63+K19</f>
        <v>55344663.976493925</v>
      </c>
      <c r="L63" s="15">
        <f t="shared" ref="L63:O63" si="17">K63+L19</f>
        <v>80971678.099625796</v>
      </c>
      <c r="M63" s="15">
        <f t="shared" si="17"/>
        <v>111820484.78025241</v>
      </c>
      <c r="N63" s="15">
        <f t="shared" si="17"/>
        <v>148641270.2075274</v>
      </c>
      <c r="O63" s="15">
        <f t="shared" si="17"/>
        <v>191735153.43851539</v>
      </c>
    </row>
    <row r="64" spans="2:15" x14ac:dyDescent="0.25">
      <c r="B64" t="s">
        <v>58</v>
      </c>
      <c r="F64" s="16">
        <v>0</v>
      </c>
      <c r="G64" s="16">
        <v>0</v>
      </c>
      <c r="H64" s="16">
        <v>0</v>
      </c>
      <c r="I64" s="16">
        <v>0</v>
      </c>
      <c r="J64" s="16">
        <v>0</v>
      </c>
      <c r="K64" s="15">
        <v>420</v>
      </c>
      <c r="L64" s="15">
        <v>420</v>
      </c>
      <c r="M64" s="15">
        <v>420</v>
      </c>
      <c r="N64" s="15">
        <v>420</v>
      </c>
      <c r="O64" s="15">
        <v>420</v>
      </c>
    </row>
    <row r="65" spans="1:15" x14ac:dyDescent="0.25">
      <c r="B65" t="s">
        <v>59</v>
      </c>
      <c r="F65" s="16">
        <v>0</v>
      </c>
      <c r="G65" s="16">
        <v>0</v>
      </c>
      <c r="H65" s="16">
        <v>0</v>
      </c>
      <c r="I65" s="16">
        <v>0</v>
      </c>
      <c r="J65" s="16">
        <v>0</v>
      </c>
      <c r="K65" s="15"/>
      <c r="L65" s="15"/>
      <c r="M65" s="15"/>
      <c r="N65" s="15"/>
      <c r="O65" s="15"/>
    </row>
    <row r="66" spans="1:15" x14ac:dyDescent="0.25">
      <c r="I66" s="24"/>
      <c r="J66" s="24"/>
    </row>
    <row r="67" spans="1:15" x14ac:dyDescent="0.25">
      <c r="B67" s="17" t="s">
        <v>60</v>
      </c>
      <c r="C67" s="18"/>
      <c r="D67" s="18"/>
      <c r="E67" s="18"/>
      <c r="F67" s="19">
        <f t="shared" ref="F67:O67" si="18">SUM(F55:F66)</f>
        <v>29159552</v>
      </c>
      <c r="G67" s="19">
        <f t="shared" si="18"/>
        <v>47251802</v>
      </c>
      <c r="H67" s="19">
        <f t="shared" si="18"/>
        <v>60347062</v>
      </c>
      <c r="I67" s="19">
        <f t="shared" si="18"/>
        <v>77728293</v>
      </c>
      <c r="J67" s="19">
        <f t="shared" si="18"/>
        <v>88963218</v>
      </c>
      <c r="K67" s="19">
        <f t="shared" si="18"/>
        <v>89758152.561175644</v>
      </c>
      <c r="L67" s="19">
        <f t="shared" si="18"/>
        <v>121726032.63827027</v>
      </c>
      <c r="M67" s="19">
        <f t="shared" si="18"/>
        <v>157355008.36181524</v>
      </c>
      <c r="N67" s="19">
        <f t="shared" si="18"/>
        <v>202547818.34211522</v>
      </c>
      <c r="O67" s="19">
        <f t="shared" si="18"/>
        <v>254487489.71334296</v>
      </c>
    </row>
    <row r="69" spans="1:15" x14ac:dyDescent="0.25">
      <c r="B69" t="s">
        <v>61</v>
      </c>
      <c r="F69" s="26">
        <f t="shared" ref="F69:O69" si="19">F40-F67</f>
        <v>0</v>
      </c>
      <c r="G69" s="26">
        <f t="shared" si="19"/>
        <v>0</v>
      </c>
      <c r="H69" s="26">
        <f t="shared" si="19"/>
        <v>0</v>
      </c>
      <c r="I69" s="26">
        <f t="shared" si="19"/>
        <v>0</v>
      </c>
      <c r="J69" s="26">
        <f t="shared" si="19"/>
        <v>0</v>
      </c>
      <c r="K69" s="26">
        <f t="shared" si="19"/>
        <v>-32483528</v>
      </c>
      <c r="L69" s="26">
        <f t="shared" si="19"/>
        <v>-32483528</v>
      </c>
      <c r="M69" s="26">
        <f t="shared" si="19"/>
        <v>-32483528</v>
      </c>
      <c r="N69" s="26">
        <f t="shared" si="19"/>
        <v>-32483528</v>
      </c>
      <c r="O69" s="26">
        <f t="shared" si="19"/>
        <v>-32483528.00000003</v>
      </c>
    </row>
    <row r="72" spans="1:15" x14ac:dyDescent="0.25">
      <c r="A72" t="s">
        <v>16</v>
      </c>
      <c r="B72" s="21" t="s">
        <v>62</v>
      </c>
    </row>
    <row r="73" spans="1:15" x14ac:dyDescent="0.25">
      <c r="F73" s="8"/>
      <c r="G73" s="8"/>
      <c r="H73" s="8"/>
      <c r="I73" s="8"/>
      <c r="J73" s="8"/>
      <c r="K73" s="8"/>
      <c r="L73" s="8"/>
      <c r="M73" s="8"/>
      <c r="N73" s="8"/>
      <c r="O73" s="8"/>
    </row>
    <row r="74" spans="1:15" x14ac:dyDescent="0.25">
      <c r="B74" s="9" t="s">
        <v>18</v>
      </c>
      <c r="C74" s="6"/>
      <c r="D74" s="6"/>
      <c r="E74" s="6"/>
      <c r="F74" s="6">
        <v>2008</v>
      </c>
      <c r="G74" s="6">
        <v>2009</v>
      </c>
      <c r="H74" s="6">
        <v>2010</v>
      </c>
      <c r="I74" s="6">
        <v>2011</v>
      </c>
      <c r="J74" s="6">
        <v>2012</v>
      </c>
      <c r="K74" s="6">
        <f t="shared" ref="K74:O74" si="20">J74+1</f>
        <v>2013</v>
      </c>
      <c r="L74" s="6">
        <f t="shared" si="20"/>
        <v>2014</v>
      </c>
      <c r="M74" s="6">
        <f t="shared" si="20"/>
        <v>2015</v>
      </c>
      <c r="N74" s="6">
        <f t="shared" si="20"/>
        <v>2016</v>
      </c>
      <c r="O74" s="6">
        <f t="shared" si="20"/>
        <v>2017</v>
      </c>
    </row>
    <row r="76" spans="1:15" x14ac:dyDescent="0.25">
      <c r="B76" s="21" t="s">
        <v>63</v>
      </c>
    </row>
    <row r="78" spans="1:15" x14ac:dyDescent="0.25">
      <c r="B78" t="s">
        <v>64</v>
      </c>
      <c r="F78" s="11">
        <f t="shared" ref="F78:J78" si="21">F19</f>
        <v>8331599</v>
      </c>
      <c r="G78" s="11">
        <f t="shared" si="21"/>
        <v>9783578</v>
      </c>
      <c r="H78" s="11">
        <f t="shared" si="21"/>
        <v>12602109</v>
      </c>
      <c r="I78" s="11">
        <f t="shared" si="21"/>
        <v>16496453</v>
      </c>
      <c r="J78" s="11">
        <f t="shared" si="21"/>
        <v>21137275</v>
      </c>
      <c r="K78" s="11">
        <f>K19</f>
        <v>21637234.976493925</v>
      </c>
      <c r="L78" s="11">
        <f>L19</f>
        <v>25627014.123131879</v>
      </c>
      <c r="M78" s="11">
        <f>M19</f>
        <v>30848806.680626612</v>
      </c>
      <c r="N78" s="11">
        <f>N19</f>
        <v>36820785.42727498</v>
      </c>
      <c r="O78" s="11">
        <f>O19</f>
        <v>43093883.230987988</v>
      </c>
    </row>
    <row r="80" spans="1:15" x14ac:dyDescent="0.25">
      <c r="B80" t="s">
        <v>65</v>
      </c>
    </row>
    <row r="81" spans="2:15" x14ac:dyDescent="0.25">
      <c r="B81" t="s">
        <v>66</v>
      </c>
      <c r="G81" s="27">
        <f t="shared" ref="G81:O84" si="22">F30-G30</f>
        <v>95091</v>
      </c>
      <c r="H81" s="27">
        <f t="shared" si="22"/>
        <v>-3072</v>
      </c>
      <c r="I81" s="27">
        <f t="shared" si="22"/>
        <v>-10952534</v>
      </c>
      <c r="J81" s="27">
        <f t="shared" si="22"/>
        <v>-2473963</v>
      </c>
      <c r="K81" s="27">
        <f t="shared" si="22"/>
        <v>5800338.3310788115</v>
      </c>
      <c r="L81" s="27">
        <f t="shared" si="22"/>
        <v>-1409680.7589703528</v>
      </c>
      <c r="M81" s="27">
        <f t="shared" si="22"/>
        <v>-3728363.0958471</v>
      </c>
      <c r="N81" s="27">
        <f t="shared" si="22"/>
        <v>-5240648.887995936</v>
      </c>
      <c r="O81" s="27">
        <f t="shared" si="22"/>
        <v>-1544815.0869397484</v>
      </c>
    </row>
    <row r="82" spans="2:15" x14ac:dyDescent="0.25">
      <c r="B82" t="s">
        <v>67</v>
      </c>
      <c r="G82" s="27">
        <f t="shared" si="22"/>
        <v>-4282402</v>
      </c>
      <c r="H82" s="27">
        <f t="shared" si="22"/>
        <v>2203528</v>
      </c>
      <c r="I82" s="27">
        <f t="shared" si="22"/>
        <v>-1408199</v>
      </c>
      <c r="J82" s="27">
        <f>I31-J31</f>
        <v>1117329</v>
      </c>
      <c r="K82" s="27">
        <f t="shared" si="22"/>
        <v>-5831583.4753090963</v>
      </c>
      <c r="L82" s="27">
        <f t="shared" si="22"/>
        <v>-2691029.9212475978</v>
      </c>
      <c r="M82" s="27">
        <f t="shared" si="22"/>
        <v>-1286081.8087009415</v>
      </c>
      <c r="N82" s="27">
        <f t="shared" si="22"/>
        <v>-3121716.7334786393</v>
      </c>
      <c r="O82" s="27">
        <f t="shared" si="22"/>
        <v>-3608373.014680475</v>
      </c>
    </row>
    <row r="83" spans="2:15" x14ac:dyDescent="0.25">
      <c r="B83" t="s">
        <v>68</v>
      </c>
      <c r="G83" s="27">
        <f t="shared" si="22"/>
        <v>-2296063</v>
      </c>
      <c r="H83" s="27">
        <f t="shared" si="22"/>
        <v>-1030632</v>
      </c>
      <c r="I83" s="27">
        <f t="shared" si="22"/>
        <v>8232837</v>
      </c>
      <c r="J83" s="27">
        <f t="shared" si="22"/>
        <v>-44929</v>
      </c>
      <c r="K83" s="27">
        <f t="shared" si="22"/>
        <v>-6978875.3177435566</v>
      </c>
      <c r="L83" s="27">
        <f t="shared" si="22"/>
        <v>-1340119.6568973083</v>
      </c>
      <c r="M83" s="27">
        <f t="shared" si="22"/>
        <v>526334.50428691972</v>
      </c>
      <c r="N83" s="27">
        <f t="shared" si="22"/>
        <v>1189491.2068177294</v>
      </c>
      <c r="O83" s="27">
        <f t="shared" si="22"/>
        <v>-2669611.8707381217</v>
      </c>
    </row>
    <row r="84" spans="2:15" x14ac:dyDescent="0.25">
      <c r="B84" t="s">
        <v>69</v>
      </c>
      <c r="G84" s="27">
        <f t="shared" si="22"/>
        <v>0</v>
      </c>
      <c r="H84" s="27">
        <f t="shared" si="22"/>
        <v>0</v>
      </c>
      <c r="I84" s="27">
        <f t="shared" si="22"/>
        <v>0</v>
      </c>
      <c r="J84" s="27">
        <f t="shared" si="22"/>
        <v>0</v>
      </c>
      <c r="K84" s="27">
        <f t="shared" si="22"/>
        <v>0</v>
      </c>
      <c r="L84" s="27">
        <f t="shared" si="22"/>
        <v>0</v>
      </c>
      <c r="M84" s="27">
        <f t="shared" si="22"/>
        <v>0</v>
      </c>
      <c r="N84" s="27">
        <f t="shared" si="22"/>
        <v>0</v>
      </c>
      <c r="O84" s="27">
        <f t="shared" si="22"/>
        <v>0</v>
      </c>
    </row>
    <row r="85" spans="2:15" x14ac:dyDescent="0.25">
      <c r="B85" t="s">
        <v>70</v>
      </c>
      <c r="G85" s="27">
        <f t="shared" ref="G85:O87" si="23">G45-F45</f>
        <v>4900799</v>
      </c>
      <c r="H85" s="27">
        <f t="shared" si="23"/>
        <v>-1502422</v>
      </c>
      <c r="I85" s="27">
        <f t="shared" si="23"/>
        <v>4213537</v>
      </c>
      <c r="J85" s="27">
        <f t="shared" si="23"/>
        <v>-4154483</v>
      </c>
      <c r="K85" s="27">
        <f t="shared" si="23"/>
        <v>3929134.2473528162</v>
      </c>
      <c r="L85" s="27">
        <f t="shared" si="23"/>
        <v>1359934.2064761482</v>
      </c>
      <c r="M85" s="27">
        <f t="shared" si="23"/>
        <v>926733.2108919546</v>
      </c>
      <c r="N85" s="27">
        <f t="shared" si="23"/>
        <v>2166887.9887302797</v>
      </c>
      <c r="O85" s="27">
        <f t="shared" si="23"/>
        <v>802798.24926774018</v>
      </c>
    </row>
    <row r="86" spans="2:15" x14ac:dyDescent="0.25">
      <c r="B86" t="s">
        <v>71</v>
      </c>
      <c r="G86" s="27">
        <f t="shared" si="23"/>
        <v>1112713</v>
      </c>
      <c r="H86" s="27">
        <f t="shared" si="23"/>
        <v>-28774</v>
      </c>
      <c r="I86" s="27">
        <f t="shared" si="23"/>
        <v>10440328</v>
      </c>
      <c r="J86" s="27">
        <f t="shared" si="23"/>
        <v>4477435</v>
      </c>
      <c r="K86" s="27">
        <f t="shared" si="23"/>
        <v>-4886803.3563312329</v>
      </c>
      <c r="L86" s="27">
        <f t="shared" si="23"/>
        <v>2598947.0273218229</v>
      </c>
      <c r="M86" s="27">
        <f t="shared" si="23"/>
        <v>4647883.8328001164</v>
      </c>
      <c r="N86" s="27">
        <f t="shared" si="23"/>
        <v>6604467.4073293619</v>
      </c>
      <c r="O86" s="27">
        <f t="shared" si="23"/>
        <v>3714450.1604944877</v>
      </c>
    </row>
    <row r="87" spans="2:15" x14ac:dyDescent="0.25">
      <c r="B87" t="s">
        <v>72</v>
      </c>
      <c r="G87" s="27">
        <f t="shared" si="23"/>
        <v>4905269</v>
      </c>
      <c r="H87" s="27">
        <f t="shared" si="23"/>
        <v>-1025903</v>
      </c>
      <c r="I87" s="27">
        <f t="shared" si="23"/>
        <v>-9294329</v>
      </c>
      <c r="J87" s="27">
        <f t="shared" si="23"/>
        <v>41857</v>
      </c>
      <c r="K87" s="27">
        <f t="shared" si="23"/>
        <v>10218823.693660133</v>
      </c>
      <c r="L87" s="27">
        <f t="shared" si="23"/>
        <v>2381984.7201647926</v>
      </c>
      <c r="M87" s="27">
        <f t="shared" si="23"/>
        <v>-794448.00077372044</v>
      </c>
      <c r="N87" s="27">
        <f t="shared" si="23"/>
        <v>-399330.84303464554</v>
      </c>
      <c r="O87" s="27">
        <f t="shared" si="23"/>
        <v>4328539.7304775044</v>
      </c>
    </row>
    <row r="89" spans="2:15" x14ac:dyDescent="0.25">
      <c r="B89" s="17" t="s">
        <v>73</v>
      </c>
      <c r="C89" s="28"/>
      <c r="D89" s="28"/>
      <c r="E89" s="28"/>
      <c r="F89" s="29"/>
      <c r="G89" s="29">
        <f t="shared" ref="G89:J89" si="24">SUM(G78:G88)</f>
        <v>14218985</v>
      </c>
      <c r="H89" s="29">
        <f t="shared" si="24"/>
        <v>11214834</v>
      </c>
      <c r="I89" s="29">
        <f t="shared" si="24"/>
        <v>17728093</v>
      </c>
      <c r="J89" s="29">
        <f t="shared" si="24"/>
        <v>20100521</v>
      </c>
      <c r="K89" s="29">
        <f>SUM(K78:K88)</f>
        <v>23888269.099201802</v>
      </c>
      <c r="L89" s="29">
        <f t="shared" ref="L89:O89" si="25">SUM(L78:L88)</f>
        <v>26527049.739979386</v>
      </c>
      <c r="M89" s="29">
        <f t="shared" si="25"/>
        <v>31140865.32328384</v>
      </c>
      <c r="N89" s="29">
        <f t="shared" si="25"/>
        <v>38019935.565643124</v>
      </c>
      <c r="O89" s="29">
        <f t="shared" si="25"/>
        <v>44116871.398869388</v>
      </c>
    </row>
    <row r="91" spans="2:15" x14ac:dyDescent="0.25">
      <c r="B91" t="s">
        <v>74</v>
      </c>
      <c r="F91" s="16">
        <v>5576221</v>
      </c>
      <c r="G91" s="16">
        <v>11920089</v>
      </c>
      <c r="H91" s="16">
        <v>15348315</v>
      </c>
      <c r="I91" s="16">
        <v>19999112</v>
      </c>
      <c r="J91" s="16">
        <v>30243832</v>
      </c>
      <c r="K91" s="15"/>
      <c r="L91" s="15"/>
      <c r="M91" s="15"/>
      <c r="N91" s="15"/>
      <c r="O91" s="15"/>
    </row>
    <row r="92" spans="2:15" x14ac:dyDescent="0.25">
      <c r="B92" t="s">
        <v>75</v>
      </c>
      <c r="F92" s="27"/>
      <c r="G92" s="27">
        <f t="shared" ref="G92:I92" si="26">G91-F91</f>
        <v>6343868</v>
      </c>
      <c r="H92" s="27">
        <f t="shared" si="26"/>
        <v>3428226</v>
      </c>
      <c r="I92" s="27">
        <f t="shared" si="26"/>
        <v>4650797</v>
      </c>
      <c r="J92" s="27">
        <f>J91-I91</f>
        <v>10244720</v>
      </c>
    </row>
    <row r="94" spans="2:15" x14ac:dyDescent="0.25">
      <c r="B94" t="s">
        <v>76</v>
      </c>
      <c r="F94" s="16">
        <v>-4633187</v>
      </c>
      <c r="G94" s="16">
        <v>-13040267</v>
      </c>
      <c r="H94" s="16">
        <v>-17069538</v>
      </c>
      <c r="I94" s="16">
        <v>-17898268</v>
      </c>
      <c r="J94" s="16">
        <v>-11196970</v>
      </c>
      <c r="K94" s="15"/>
      <c r="L94" s="15"/>
      <c r="M94" s="15"/>
      <c r="N94" s="15"/>
      <c r="O94" s="15"/>
    </row>
    <row r="95" spans="2:15" x14ac:dyDescent="0.25">
      <c r="B95" t="s">
        <v>77</v>
      </c>
      <c r="F95" s="27"/>
      <c r="G95" s="27">
        <f t="shared" ref="G95:I95" si="27">G94-F94</f>
        <v>-8407080</v>
      </c>
      <c r="H95" s="27">
        <f t="shared" si="27"/>
        <v>-4029271</v>
      </c>
      <c r="I95" s="27">
        <f t="shared" si="27"/>
        <v>-828730</v>
      </c>
      <c r="J95" s="27">
        <f>J94-I94</f>
        <v>6701298</v>
      </c>
    </row>
    <row r="97" spans="1:15" x14ac:dyDescent="0.25">
      <c r="B97" t="s">
        <v>78</v>
      </c>
      <c r="F97" s="16">
        <v>364406</v>
      </c>
      <c r="G97" s="16">
        <v>-473491</v>
      </c>
      <c r="H97" s="16">
        <v>1149184</v>
      </c>
      <c r="I97" s="16">
        <v>-5773350</v>
      </c>
      <c r="J97" s="16">
        <v>-11349854</v>
      </c>
      <c r="K97" s="15"/>
      <c r="L97" s="15"/>
      <c r="M97" s="15"/>
      <c r="N97" s="15"/>
      <c r="O97" s="15"/>
    </row>
    <row r="98" spans="1:15" x14ac:dyDescent="0.25">
      <c r="B98" t="s">
        <v>75</v>
      </c>
      <c r="F98" s="27"/>
      <c r="G98" s="27">
        <f t="shared" ref="G98:I98" si="28">G97-F97</f>
        <v>-837897</v>
      </c>
      <c r="H98" s="27">
        <f t="shared" si="28"/>
        <v>1622675</v>
      </c>
      <c r="I98" s="27">
        <f t="shared" si="28"/>
        <v>-6922534</v>
      </c>
      <c r="J98" s="27">
        <f>J97-I97</f>
        <v>-5576504</v>
      </c>
    </row>
    <row r="100" spans="1:15" x14ac:dyDescent="0.25">
      <c r="B100" s="17" t="s">
        <v>79</v>
      </c>
      <c r="C100" s="28"/>
      <c r="D100" s="28"/>
      <c r="E100" s="28"/>
      <c r="F100" s="29">
        <f t="shared" ref="F100:H100" si="29">F91+F94+F97</f>
        <v>1307440</v>
      </c>
      <c r="G100" s="29">
        <f t="shared" si="29"/>
        <v>-1593669</v>
      </c>
      <c r="H100" s="29">
        <f t="shared" si="29"/>
        <v>-572039</v>
      </c>
      <c r="I100" s="29">
        <f>I91+I94+I97</f>
        <v>-3672506</v>
      </c>
      <c r="J100" s="29">
        <f>J91+J94+J97</f>
        <v>7697008</v>
      </c>
      <c r="K100" s="29">
        <f>SUM(K89:K99)</f>
        <v>23888269.099201802</v>
      </c>
      <c r="L100" s="29">
        <f>SUM(L89:L99)</f>
        <v>26527049.739979386</v>
      </c>
      <c r="M100" s="29">
        <f>SUM(M89:M99)</f>
        <v>31140865.32328384</v>
      </c>
      <c r="N100" s="29">
        <f>SUM(N89:N99)</f>
        <v>38019935.565643124</v>
      </c>
      <c r="O100" s="29">
        <f>SUM(O89:O99)</f>
        <v>44116871.398869388</v>
      </c>
    </row>
    <row r="102" spans="1:15" x14ac:dyDescent="0.25">
      <c r="B102" t="s">
        <v>80</v>
      </c>
      <c r="F102" s="11">
        <v>2335693</v>
      </c>
      <c r="G102" s="11">
        <v>5258410</v>
      </c>
      <c r="H102" s="11">
        <v>3664741</v>
      </c>
      <c r="I102" s="11">
        <v>-210437</v>
      </c>
      <c r="J102" s="11">
        <v>-3882943</v>
      </c>
      <c r="K102" s="11">
        <f>J29</f>
        <v>3814065</v>
      </c>
      <c r="L102" s="11">
        <f>K29</f>
        <v>27702334.099201802</v>
      </c>
      <c r="M102" s="11">
        <f>L29</f>
        <v>54229383.839181185</v>
      </c>
      <c r="N102" s="11">
        <f>M29</f>
        <v>85370249.162465021</v>
      </c>
      <c r="O102" s="11">
        <f>N29</f>
        <v>123390184.72810814</v>
      </c>
    </row>
    <row r="103" spans="1:15" x14ac:dyDescent="0.25">
      <c r="B103" t="s">
        <v>81</v>
      </c>
      <c r="F103" s="11">
        <f t="shared" ref="F103:J103" si="30">SUM(F100:F102)</f>
        <v>3643133</v>
      </c>
      <c r="G103" s="11">
        <f t="shared" si="30"/>
        <v>3664741</v>
      </c>
      <c r="H103" s="11">
        <f t="shared" si="30"/>
        <v>3092702</v>
      </c>
      <c r="I103" s="11">
        <f t="shared" si="30"/>
        <v>-3882943</v>
      </c>
      <c r="J103" s="11">
        <f t="shared" si="30"/>
        <v>3814065</v>
      </c>
      <c r="K103" s="11">
        <f>SUM(K100:K102)</f>
        <v>27702334.099201802</v>
      </c>
      <c r="L103" s="11">
        <f t="shared" ref="L103:O103" si="31">SUM(L100:L102)</f>
        <v>54229383.839181185</v>
      </c>
      <c r="M103" s="11">
        <f t="shared" si="31"/>
        <v>85370249.162465021</v>
      </c>
      <c r="N103" s="11">
        <f t="shared" si="31"/>
        <v>123390184.72810814</v>
      </c>
      <c r="O103" s="11">
        <f t="shared" si="31"/>
        <v>167507056.12697753</v>
      </c>
    </row>
    <row r="106" spans="1:15" x14ac:dyDescent="0.25">
      <c r="A106" t="s">
        <v>16</v>
      </c>
      <c r="B106" s="21" t="s">
        <v>82</v>
      </c>
    </row>
    <row r="107" spans="1:15" x14ac:dyDescent="0.25">
      <c r="F107" s="8"/>
      <c r="G107" s="8"/>
      <c r="H107" s="8"/>
      <c r="I107" s="8"/>
      <c r="J107" s="8"/>
      <c r="K107" s="8"/>
      <c r="L107" s="8"/>
      <c r="M107" s="8"/>
      <c r="N107" s="8"/>
      <c r="O107" s="8"/>
    </row>
    <row r="108" spans="1:15" x14ac:dyDescent="0.25">
      <c r="B108" s="9" t="s">
        <v>18</v>
      </c>
      <c r="C108" s="6"/>
      <c r="D108" s="6"/>
      <c r="E108" s="6"/>
      <c r="F108" s="6">
        <v>2008</v>
      </c>
      <c r="G108" s="6">
        <v>2009</v>
      </c>
      <c r="H108" s="6">
        <v>2010</v>
      </c>
      <c r="I108" s="6">
        <v>2011</v>
      </c>
      <c r="J108" s="6">
        <v>2012</v>
      </c>
      <c r="K108" s="6">
        <f t="shared" ref="K108:O108" si="32">J108+1</f>
        <v>2013</v>
      </c>
      <c r="L108" s="6">
        <f t="shared" si="32"/>
        <v>2014</v>
      </c>
      <c r="M108" s="6">
        <f t="shared" si="32"/>
        <v>2015</v>
      </c>
      <c r="N108" s="6">
        <f t="shared" si="32"/>
        <v>2016</v>
      </c>
      <c r="O108" s="6">
        <f t="shared" si="32"/>
        <v>2017</v>
      </c>
    </row>
    <row r="110" spans="1:15" x14ac:dyDescent="0.25">
      <c r="B110" s="22" t="s">
        <v>83</v>
      </c>
    </row>
    <row r="112" spans="1:15" x14ac:dyDescent="0.25">
      <c r="B112" t="s">
        <v>84</v>
      </c>
      <c r="G112" s="30">
        <f t="shared" ref="G112:I112" si="33">G7/F7-1</f>
        <v>0.32033752576373575</v>
      </c>
      <c r="H112" s="30">
        <f t="shared" si="33"/>
        <v>0.21091180956016364</v>
      </c>
      <c r="I112" s="30">
        <f t="shared" si="33"/>
        <v>0.18416203886194316</v>
      </c>
      <c r="J112" s="30">
        <f>J7/I7-1</f>
        <v>0.19136272849083413</v>
      </c>
      <c r="K112" s="31">
        <v>0.15</v>
      </c>
      <c r="L112" s="31">
        <f t="shared" ref="L112:O112" si="34">AVERAGE(H112:K112)</f>
        <v>0.18410914422823524</v>
      </c>
      <c r="M112" s="31">
        <f t="shared" si="34"/>
        <v>0.17740847789525313</v>
      </c>
      <c r="N112" s="31">
        <f t="shared" si="34"/>
        <v>0.17572008765358063</v>
      </c>
      <c r="O112" s="31">
        <f t="shared" si="34"/>
        <v>0.17180942744426725</v>
      </c>
    </row>
    <row r="113" spans="2:15" x14ac:dyDescent="0.25">
      <c r="B113" t="s">
        <v>85</v>
      </c>
      <c r="F113" s="30">
        <f>F8/F7</f>
        <v>0.60493404410186469</v>
      </c>
      <c r="G113" s="30">
        <f t="shared" ref="G113:J113" si="35">G8/G7</f>
        <v>0.58487052687076946</v>
      </c>
      <c r="H113" s="30">
        <f t="shared" si="35"/>
        <v>0.56203924150827667</v>
      </c>
      <c r="I113" s="30">
        <f t="shared" si="35"/>
        <v>0.5856212139370196</v>
      </c>
      <c r="J113" s="30">
        <f t="shared" si="35"/>
        <v>0.57013321709505393</v>
      </c>
      <c r="K113" s="31">
        <f>AVERAGE(F113:J113)</f>
        <v>0.58151964870259687</v>
      </c>
      <c r="L113" s="31">
        <f t="shared" ref="L113:O114" si="36">AVERAGE(G113:K113)</f>
        <v>0.57683676962274322</v>
      </c>
      <c r="M113" s="31">
        <f t="shared" si="36"/>
        <v>0.57523001817313801</v>
      </c>
      <c r="N113" s="31">
        <f t="shared" si="36"/>
        <v>0.57786817350611031</v>
      </c>
      <c r="O113" s="31">
        <f t="shared" si="36"/>
        <v>0.57631756541992851</v>
      </c>
    </row>
    <row r="114" spans="2:15" x14ac:dyDescent="0.25">
      <c r="B114" t="s">
        <v>86</v>
      </c>
      <c r="F114" s="30">
        <f>F11/F7</f>
        <v>0.16500995645690444</v>
      </c>
      <c r="G114" s="30">
        <f t="shared" ref="G114:J114" si="37">G11/G7</f>
        <v>0.18484809038787728</v>
      </c>
      <c r="H114" s="30">
        <f t="shared" si="37"/>
        <v>0.20909285010440884</v>
      </c>
      <c r="I114" s="30">
        <f t="shared" si="37"/>
        <v>0.19475857088812454</v>
      </c>
      <c r="J114" s="30">
        <f t="shared" si="37"/>
        <v>0.20717678778775575</v>
      </c>
      <c r="K114" s="31">
        <f t="shared" ref="K114:O130" si="38">AVERAGE(F114:J114)</f>
        <v>0.19217725112501416</v>
      </c>
      <c r="L114" s="31">
        <f t="shared" si="36"/>
        <v>0.19761071005863612</v>
      </c>
      <c r="M114" s="31">
        <f t="shared" si="36"/>
        <v>0.20016323399278785</v>
      </c>
      <c r="N114" s="31">
        <f t="shared" si="36"/>
        <v>0.19837731077046369</v>
      </c>
      <c r="O114" s="31">
        <f t="shared" si="36"/>
        <v>0.19910105874693154</v>
      </c>
    </row>
    <row r="115" spans="2:15" x14ac:dyDescent="0.25">
      <c r="B115" t="s">
        <v>87</v>
      </c>
      <c r="F115" s="30">
        <f>F12/F7</f>
        <v>0.2300559994412309</v>
      </c>
      <c r="G115" s="30">
        <f t="shared" ref="G115:J115" si="39">G12/G7</f>
        <v>0.23028138274135324</v>
      </c>
      <c r="H115" s="30">
        <f t="shared" si="39"/>
        <v>0.22886790838731449</v>
      </c>
      <c r="I115" s="30">
        <f t="shared" si="39"/>
        <v>0.21962021517485586</v>
      </c>
      <c r="J115" s="30">
        <f t="shared" si="39"/>
        <v>0.22268999511719026</v>
      </c>
      <c r="K115" s="31">
        <f t="shared" ref="K115:O116" si="40">AVERAGE(I115:J115)</f>
        <v>0.22115510514602305</v>
      </c>
      <c r="L115" s="31">
        <f t="shared" si="40"/>
        <v>0.22192255013160667</v>
      </c>
      <c r="M115" s="31">
        <f t="shared" si="40"/>
        <v>0.22153882763881486</v>
      </c>
      <c r="N115" s="31">
        <f t="shared" si="40"/>
        <v>0.22173068888521075</v>
      </c>
      <c r="O115" s="31">
        <f t="shared" si="40"/>
        <v>0.22163475826201279</v>
      </c>
    </row>
    <row r="116" spans="2:15" x14ac:dyDescent="0.25">
      <c r="B116" t="s">
        <v>88</v>
      </c>
      <c r="F116" s="30">
        <f>(F12-F17)/(F40-F48)</f>
        <v>0.4634696737257164</v>
      </c>
      <c r="G116" s="30">
        <f t="shared" ref="G116:J116" si="41">(G12-G17)/(G40-G48)</f>
        <v>0.4648500020048017</v>
      </c>
      <c r="H116" s="30">
        <f t="shared" si="41"/>
        <v>0.32502961537755171</v>
      </c>
      <c r="I116" s="30">
        <f t="shared" si="41"/>
        <v>0.37441281951370481</v>
      </c>
      <c r="J116" s="30">
        <f t="shared" si="41"/>
        <v>0.34611845363196486</v>
      </c>
      <c r="K116" s="31">
        <f t="shared" si="40"/>
        <v>0.36026563657283484</v>
      </c>
      <c r="L116" s="31">
        <f t="shared" si="40"/>
        <v>0.35319204510239988</v>
      </c>
      <c r="M116" s="31">
        <f t="shared" si="40"/>
        <v>0.35672884083761736</v>
      </c>
      <c r="N116" s="31">
        <f t="shared" si="40"/>
        <v>0.35496044297000862</v>
      </c>
      <c r="O116" s="31">
        <f t="shared" si="40"/>
        <v>0.35584464190381299</v>
      </c>
    </row>
    <row r="117" spans="2:15" x14ac:dyDescent="0.25">
      <c r="B117" t="s">
        <v>89</v>
      </c>
      <c r="F117" s="30">
        <f>F100/F7</f>
        <v>2.5268299813951067E-2</v>
      </c>
      <c r="G117" s="30">
        <f t="shared" ref="G117:H117" si="42">G100/G7</f>
        <v>-2.3327457759859168E-2</v>
      </c>
      <c r="H117" s="30">
        <f t="shared" si="42"/>
        <v>-6.9148443838773308E-3</v>
      </c>
      <c r="I117" s="30">
        <f>I100/I7</f>
        <v>-3.7489370798211456E-2</v>
      </c>
      <c r="J117" s="30">
        <f>J100/J7</f>
        <v>6.5951331241275085E-2</v>
      </c>
      <c r="K117" s="31">
        <f t="shared" ref="K117:O121" si="43">AVERAGE(F117:J117)</f>
        <v>4.6975916226556389E-3</v>
      </c>
      <c r="L117" s="31">
        <f t="shared" si="43"/>
        <v>5.8344998439655341E-4</v>
      </c>
      <c r="M117" s="31">
        <f t="shared" si="43"/>
        <v>5.3656315332476986E-3</v>
      </c>
      <c r="N117" s="31">
        <f t="shared" si="43"/>
        <v>7.8217267166727032E-3</v>
      </c>
      <c r="O117" s="31">
        <f t="shared" si="43"/>
        <v>1.6883946219649535E-2</v>
      </c>
    </row>
    <row r="118" spans="2:15" x14ac:dyDescent="0.25">
      <c r="B118" t="s">
        <v>90</v>
      </c>
      <c r="F118" s="30">
        <f>F19/AVERAGE(E40:F40)</f>
        <v>0.28572452004749593</v>
      </c>
      <c r="G118" s="30">
        <f t="shared" ref="G118:J118" si="44">G19/AVERAGE(F40:G40)</f>
        <v>0.25607655113662819</v>
      </c>
      <c r="H118" s="30">
        <f t="shared" si="44"/>
        <v>0.23424241728053932</v>
      </c>
      <c r="I118" s="30">
        <f t="shared" si="44"/>
        <v>0.23894855095610654</v>
      </c>
      <c r="J118" s="30">
        <f t="shared" si="44"/>
        <v>0.25360949544695172</v>
      </c>
      <c r="K118" s="31">
        <f t="shared" si="43"/>
        <v>0.25372030697354431</v>
      </c>
      <c r="L118" s="31">
        <f t="shared" si="43"/>
        <v>0.24731946435875402</v>
      </c>
      <c r="M118" s="31">
        <f t="shared" si="43"/>
        <v>0.24556804700317919</v>
      </c>
      <c r="N118" s="31">
        <f t="shared" si="43"/>
        <v>0.24783317294770715</v>
      </c>
      <c r="O118" s="31">
        <f t="shared" si="43"/>
        <v>0.24961009734602727</v>
      </c>
    </row>
    <row r="119" spans="2:15" x14ac:dyDescent="0.25">
      <c r="B119" t="s">
        <v>91</v>
      </c>
      <c r="F119" s="30">
        <f>F19/SUM(F58:F65)</f>
        <v>0.92253101456721331</v>
      </c>
      <c r="G119" s="30">
        <f t="shared" ref="G119:J119" si="45">G19/SUM(G58:G65)</f>
        <v>0.92788678989390583</v>
      </c>
      <c r="H119" s="30">
        <f t="shared" si="45"/>
        <v>0.84775040323630391</v>
      </c>
      <c r="I119" s="30">
        <f t="shared" si="45"/>
        <v>0.71074814183413482</v>
      </c>
      <c r="J119" s="30">
        <f t="shared" si="45"/>
        <v>0.61831000467390296</v>
      </c>
      <c r="K119" s="31">
        <f t="shared" si="43"/>
        <v>0.80544527084109219</v>
      </c>
      <c r="L119" s="31">
        <f t="shared" si="43"/>
        <v>0.78202812209586803</v>
      </c>
      <c r="M119" s="31">
        <f t="shared" si="43"/>
        <v>0.75285638853626047</v>
      </c>
      <c r="N119" s="31">
        <f t="shared" si="43"/>
        <v>0.73387758559625171</v>
      </c>
      <c r="O119" s="31">
        <f t="shared" si="43"/>
        <v>0.73850347434867503</v>
      </c>
    </row>
    <row r="120" spans="2:15" x14ac:dyDescent="0.25">
      <c r="B120" t="s">
        <v>92</v>
      </c>
      <c r="F120" s="30">
        <f>F14/F7</f>
        <v>-8.003895922527761E-4</v>
      </c>
      <c r="G120" s="30">
        <f t="shared" ref="G120:J120" si="46">G14/G7</f>
        <v>-2.8528043620223122E-2</v>
      </c>
      <c r="H120" s="30">
        <f t="shared" si="46"/>
        <v>-8.3277699023365376E-3</v>
      </c>
      <c r="I120" s="30">
        <f t="shared" si="46"/>
        <v>-3.3840152729762762E-2</v>
      </c>
      <c r="J120" s="30">
        <f t="shared" si="46"/>
        <v>-8.0491643914180795E-3</v>
      </c>
      <c r="K120" s="31">
        <f t="shared" si="38"/>
        <v>-1.5909104047198655E-2</v>
      </c>
      <c r="L120" s="31">
        <f t="shared" si="43"/>
        <v>-1.8930846938187831E-2</v>
      </c>
      <c r="M120" s="31">
        <f t="shared" si="43"/>
        <v>-1.7011407601780774E-2</v>
      </c>
      <c r="N120" s="31">
        <f t="shared" si="43"/>
        <v>-1.874813514166962E-2</v>
      </c>
      <c r="O120" s="31">
        <f t="shared" si="43"/>
        <v>-1.5729731624050992E-2</v>
      </c>
    </row>
    <row r="121" spans="2:15" x14ac:dyDescent="0.25">
      <c r="B121" t="s">
        <v>93</v>
      </c>
      <c r="F121" s="30">
        <f>F17/F7</f>
        <v>6.8234575261069755E-2</v>
      </c>
      <c r="G121" s="30">
        <f t="shared" ref="G121:J121" si="47">G17/G7</f>
        <v>5.8545431748088766E-2</v>
      </c>
      <c r="H121" s="30">
        <f t="shared" si="47"/>
        <v>6.8205030837317632E-2</v>
      </c>
      <c r="I121" s="30">
        <f t="shared" si="47"/>
        <v>1.7382340733469538E-2</v>
      </c>
      <c r="J121" s="30">
        <f t="shared" si="47"/>
        <v>3.3527413010353058E-2</v>
      </c>
      <c r="K121" s="31">
        <f t="shared" si="38"/>
        <v>4.9178958318059754E-2</v>
      </c>
      <c r="L121" s="31">
        <f t="shared" si="43"/>
        <v>4.536783492945775E-2</v>
      </c>
      <c r="M121" s="31">
        <f t="shared" si="43"/>
        <v>4.2732315565731545E-2</v>
      </c>
      <c r="N121" s="31">
        <f t="shared" si="43"/>
        <v>3.7637772511414327E-2</v>
      </c>
      <c r="O121" s="31">
        <f t="shared" si="43"/>
        <v>4.1688858867003284E-2</v>
      </c>
    </row>
    <row r="122" spans="2:15" x14ac:dyDescent="0.25">
      <c r="K122" s="31"/>
      <c r="L122" s="31"/>
      <c r="M122" s="31"/>
      <c r="N122" s="31"/>
      <c r="O122" s="31"/>
    </row>
    <row r="123" spans="2:15" x14ac:dyDescent="0.25">
      <c r="B123" t="s">
        <v>94</v>
      </c>
      <c r="K123" s="31"/>
      <c r="L123" s="31"/>
      <c r="M123" s="31"/>
      <c r="N123" s="31"/>
      <c r="O123" s="31"/>
    </row>
    <row r="124" spans="2:15" x14ac:dyDescent="0.25">
      <c r="B124" t="s">
        <v>95</v>
      </c>
      <c r="G124" s="30">
        <f t="shared" ref="G124:I124" si="48">G30/G7</f>
        <v>4.0306040769788587E-4</v>
      </c>
      <c r="H124" s="30">
        <f t="shared" si="48"/>
        <v>3.699914811782367E-4</v>
      </c>
      <c r="I124" s="30">
        <f t="shared" si="48"/>
        <v>0.11211719816588721</v>
      </c>
      <c r="J124" s="30">
        <f>J30/J7</f>
        <v>0.11530636182314206</v>
      </c>
      <c r="K124" s="31">
        <f t="shared" si="38"/>
        <v>5.7049152969476352E-2</v>
      </c>
      <c r="L124" s="31">
        <f t="shared" si="38"/>
        <v>5.7049152969476345E-2</v>
      </c>
      <c r="M124" s="31">
        <f t="shared" si="38"/>
        <v>6.837837148183204E-2</v>
      </c>
      <c r="N124" s="31">
        <f t="shared" si="38"/>
        <v>8.1980047481962789E-2</v>
      </c>
      <c r="O124" s="31">
        <f t="shared" si="38"/>
        <v>7.5952617345177914E-2</v>
      </c>
    </row>
    <row r="125" spans="2:15" x14ac:dyDescent="0.25">
      <c r="B125" t="s">
        <v>96</v>
      </c>
      <c r="G125" s="30">
        <f t="shared" ref="G125:I125" si="49">G31/G7</f>
        <v>0.15658649463957908</v>
      </c>
      <c r="H125" s="30">
        <f t="shared" si="49"/>
        <v>0.10267649211956706</v>
      </c>
      <c r="I125" s="30">
        <f t="shared" si="49"/>
        <v>0.10108320370726143</v>
      </c>
      <c r="J125" s="30">
        <f>J31/J7</f>
        <v>7.5272942860843933E-2</v>
      </c>
      <c r="K125" s="31">
        <f t="shared" si="38"/>
        <v>0.10890478333181289</v>
      </c>
      <c r="L125" s="31">
        <f t="shared" si="38"/>
        <v>0.10890478333181289</v>
      </c>
      <c r="M125" s="31">
        <f t="shared" si="38"/>
        <v>9.9368441070259633E-2</v>
      </c>
      <c r="N125" s="31">
        <f t="shared" si="38"/>
        <v>9.8706830860398151E-2</v>
      </c>
      <c r="O125" s="31">
        <f t="shared" si="38"/>
        <v>9.8231556291025507E-2</v>
      </c>
    </row>
    <row r="126" spans="2:15" x14ac:dyDescent="0.25">
      <c r="B126" t="s">
        <v>97</v>
      </c>
      <c r="G126" s="30">
        <f t="shared" ref="G126:I126" si="50">G32/G7</f>
        <v>0.10915744141714728</v>
      </c>
      <c r="H126" s="30">
        <f t="shared" si="50"/>
        <v>0.10260317800778759</v>
      </c>
      <c r="I126" s="30">
        <f t="shared" si="50"/>
        <v>2.6044683377898568E-3</v>
      </c>
      <c r="J126" s="30">
        <f>J32/J7</f>
        <v>2.5710967378810637E-3</v>
      </c>
      <c r="K126" s="31">
        <f t="shared" si="38"/>
        <v>5.4234046125151446E-2</v>
      </c>
      <c r="L126" s="31">
        <f t="shared" si="38"/>
        <v>5.4234046125151446E-2</v>
      </c>
      <c r="M126" s="31">
        <f t="shared" si="38"/>
        <v>4.3249367066752281E-2</v>
      </c>
      <c r="N126" s="31">
        <f t="shared" si="38"/>
        <v>3.137860487854522E-2</v>
      </c>
      <c r="O126" s="31">
        <f t="shared" si="38"/>
        <v>3.7133432186696291E-2</v>
      </c>
    </row>
    <row r="127" spans="2:15" x14ac:dyDescent="0.25">
      <c r="B127" t="s">
        <v>98</v>
      </c>
      <c r="G127" s="30">
        <f t="shared" ref="G127:I127" si="51">G33/G7</f>
        <v>0</v>
      </c>
      <c r="H127" s="30">
        <f t="shared" si="51"/>
        <v>0</v>
      </c>
      <c r="I127" s="30">
        <f t="shared" si="51"/>
        <v>0</v>
      </c>
      <c r="J127" s="30">
        <f>J33/J7</f>
        <v>0</v>
      </c>
      <c r="K127" s="31">
        <f t="shared" si="38"/>
        <v>0</v>
      </c>
      <c r="L127" s="31">
        <f t="shared" si="38"/>
        <v>0</v>
      </c>
      <c r="M127" s="31">
        <f t="shared" si="38"/>
        <v>0</v>
      </c>
      <c r="N127" s="31">
        <f t="shared" si="38"/>
        <v>0</v>
      </c>
      <c r="O127" s="31">
        <f t="shared" si="38"/>
        <v>0</v>
      </c>
    </row>
    <row r="128" spans="2:15" x14ac:dyDescent="0.25">
      <c r="B128" t="s">
        <v>99</v>
      </c>
      <c r="G128" s="30">
        <f t="shared" ref="G128:I128" si="52">G45/G7</f>
        <v>7.1735838283897124E-2</v>
      </c>
      <c r="H128" s="30">
        <f t="shared" si="52"/>
        <v>4.1079800700210813E-2</v>
      </c>
      <c r="I128" s="30">
        <f t="shared" si="52"/>
        <v>7.7703308430291732E-2</v>
      </c>
      <c r="J128" s="30">
        <f>J45/J7</f>
        <v>2.9624781099987545E-2</v>
      </c>
      <c r="K128" s="31">
        <f t="shared" si="38"/>
        <v>5.5035932128596803E-2</v>
      </c>
      <c r="L128" s="31">
        <f t="shared" si="38"/>
        <v>5.5035932128596796E-2</v>
      </c>
      <c r="M128" s="31">
        <f t="shared" si="38"/>
        <v>5.1695950897536737E-2</v>
      </c>
      <c r="N128" s="31">
        <f t="shared" si="38"/>
        <v>5.3819180937001929E-2</v>
      </c>
      <c r="O128" s="31">
        <f t="shared" si="38"/>
        <v>4.9042355438343954E-2</v>
      </c>
    </row>
    <row r="129" spans="2:15" x14ac:dyDescent="0.25">
      <c r="B129" t="s">
        <v>100</v>
      </c>
      <c r="G129" s="30">
        <f t="shared" ref="G129:I129" si="53">G46/G7</f>
        <v>6.0221244389580195E-2</v>
      </c>
      <c r="H129" s="30">
        <f t="shared" si="53"/>
        <v>4.9384325254327739E-2</v>
      </c>
      <c r="I129" s="30">
        <f t="shared" si="53"/>
        <v>0.14828011603770716</v>
      </c>
      <c r="J129" s="30">
        <f>J46/J7</f>
        <v>0.16282723269444266</v>
      </c>
      <c r="K129" s="31">
        <f t="shared" si="38"/>
        <v>0.10517822959401443</v>
      </c>
      <c r="L129" s="31">
        <f t="shared" si="38"/>
        <v>0.10517822959401443</v>
      </c>
      <c r="M129" s="31">
        <f t="shared" si="38"/>
        <v>0.11416962663490129</v>
      </c>
      <c r="N129" s="31">
        <f t="shared" si="38"/>
        <v>0.127126686911016</v>
      </c>
      <c r="O129" s="31">
        <f t="shared" si="38"/>
        <v>0.12289600108567778</v>
      </c>
    </row>
    <row r="130" spans="2:15" x14ac:dyDescent="0.25">
      <c r="B130" t="s">
        <v>101</v>
      </c>
      <c r="G130" s="30">
        <f t="shared" ref="G130:I130" si="54">G47/G7</f>
        <v>0.19025115789480154</v>
      </c>
      <c r="H130" s="30">
        <f t="shared" si="54"/>
        <v>0.14471278510712726</v>
      </c>
      <c r="I130" s="30">
        <f t="shared" si="54"/>
        <v>2.7329313649089446E-2</v>
      </c>
      <c r="J130" s="30">
        <f>J47/J7</f>
        <v>2.3298189658831729E-2</v>
      </c>
      <c r="K130" s="31">
        <f t="shared" si="38"/>
        <v>9.6397861577462496E-2</v>
      </c>
      <c r="L130" s="31">
        <f t="shared" si="38"/>
        <v>9.6397861577462496E-2</v>
      </c>
      <c r="M130" s="31">
        <f t="shared" si="38"/>
        <v>7.7627202313994684E-2</v>
      </c>
      <c r="N130" s="31">
        <f t="shared" si="38"/>
        <v>6.4210085755368171E-2</v>
      </c>
      <c r="O130" s="31">
        <f t="shared" si="38"/>
        <v>7.1586240176623919E-2</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90"/>
  <sheetViews>
    <sheetView showGridLines="0" zoomScale="145" zoomScaleNormal="145" workbookViewId="0">
      <selection activeCell="G84" sqref="G84"/>
    </sheetView>
  </sheetViews>
  <sheetFormatPr defaultRowHeight="12.75" x14ac:dyDescent="0.2"/>
  <cols>
    <col min="1" max="1" width="4.5703125" style="33" customWidth="1"/>
    <col min="2" max="2" width="18.42578125" style="33" customWidth="1"/>
    <col min="3" max="3" width="16.7109375" style="33" customWidth="1"/>
    <col min="4" max="5" width="14.7109375" style="33" customWidth="1"/>
    <col min="6" max="6" width="4" style="33" customWidth="1"/>
    <col min="7" max="7" width="28.42578125" style="33" bestFit="1" customWidth="1"/>
    <col min="8" max="8" width="16.7109375" style="33" customWidth="1"/>
    <col min="9" max="10" width="14.7109375" style="33" customWidth="1"/>
    <col min="11" max="16384" width="9.140625" style="33"/>
  </cols>
  <sheetData>
    <row r="1" spans="2:11" ht="30" customHeight="1" x14ac:dyDescent="0.3">
      <c r="B1" s="93" t="s">
        <v>102</v>
      </c>
      <c r="C1" s="93"/>
      <c r="D1" s="93"/>
      <c r="E1" s="93"/>
      <c r="F1" s="93"/>
      <c r="G1" s="93"/>
      <c r="H1" s="93"/>
      <c r="I1" s="32" t="s">
        <v>103</v>
      </c>
      <c r="J1" s="32"/>
    </row>
    <row r="2" spans="2:11" ht="14.25" customHeight="1" x14ac:dyDescent="0.25">
      <c r="B2" s="34"/>
      <c r="C2" s="34"/>
      <c r="D2" s="34"/>
      <c r="E2" s="34"/>
      <c r="F2" s="34"/>
      <c r="G2" s="34"/>
      <c r="H2" s="34"/>
      <c r="I2" s="34"/>
      <c r="J2" s="34"/>
    </row>
    <row r="3" spans="2:11" ht="14.1" customHeight="1" x14ac:dyDescent="0.2">
      <c r="B3" s="94" t="s">
        <v>104</v>
      </c>
      <c r="C3" s="95"/>
      <c r="D3" s="35" t="s">
        <v>105</v>
      </c>
      <c r="E3" s="36" t="s">
        <v>106</v>
      </c>
      <c r="F3" s="37"/>
      <c r="G3" s="96" t="s">
        <v>107</v>
      </c>
      <c r="H3" s="97"/>
      <c r="I3" s="98" t="s">
        <v>108</v>
      </c>
      <c r="J3" s="98"/>
      <c r="K3" s="98"/>
    </row>
    <row r="4" spans="2:11" ht="14.1" customHeight="1" x14ac:dyDescent="0.2">
      <c r="B4" s="38" t="s">
        <v>109</v>
      </c>
      <c r="C4" s="39">
        <f>Housing[[#Totals],[Budgeted Cost]]+Transportation[[#Totals],[Projected Cost]]+Insurance[[#Totals],[Projected Cost]]+Food[[#Totals],[Projected Cost]]+Children[[#Totals],[Projected Cost]]+Legal[[#Totals],[Projected Cost]]+Savings[[#Totals],[Projected Cost]]+Loans[[#Totals],[Projected Cost]]+Entertainment[[#Totals],[Projected Cost]]+Taxes[[#Totals],[Projected Cost]]+PersonalCare[[#Totals],[Projected Cost]]+Pets[[#Totals],[Projected Cost]]+Gifts[[#Totals],[Projected Cost]]</f>
        <v>18000</v>
      </c>
      <c r="D4" s="39">
        <f>Housing[[#Totals],[Actual Cost]]+Transportation[[#Totals],[Actual Cost]]+Insurance[[#Totals],[Actual Cost]]+Food[[#Totals],[Actual Cost]]+Children[[#Totals],[Actual Cost]]+Legal[[#Totals],[Actual Cost]]+Savings[[#Totals],[Actual Cost]]+Loans[[#Totals],[Actual Cost]]+Entertainment[[#Totals],[Actual Cost]]+Taxes[[#Totals],[Actual Cost]]+PersonalCare[[#Totals],[Actual Cost]]+Pets[[#Totals],[Actual Cost]]+Gifts[[#Totals],[Actual Cost]]</f>
        <v>22500</v>
      </c>
      <c r="E4" s="39">
        <f>Housing[[#Totals],[Difference]]+Transportation[[#Totals],[Difference]]+Insurance[[#Totals],[Difference]]+Food[[#Totals],[Difference]]+Children[[#Totals],[Difference]]+Legal[[#Totals],[Difference]]+Savings[[#Totals],[Difference]]+Loans[[#Totals],[Difference]]+Entertainment[[#Totals],[Difference]]+Taxes[[#Totals],[Difference]]+PersonalCare[[#Totals],[Difference]]+Pets[[#Totals],[Difference]]+Gifts[[#Totals],[Difference]]</f>
        <v>-4500</v>
      </c>
      <c r="F4" s="37"/>
      <c r="G4" s="40" t="s">
        <v>110</v>
      </c>
      <c r="H4" s="41">
        <v>100000</v>
      </c>
      <c r="I4" s="98"/>
      <c r="J4" s="98"/>
      <c r="K4" s="98"/>
    </row>
    <row r="5" spans="2:11" ht="14.1" customHeight="1" x14ac:dyDescent="0.2">
      <c r="B5" s="42"/>
      <c r="C5" s="42"/>
      <c r="D5" s="42"/>
      <c r="E5" s="42"/>
      <c r="F5" s="42"/>
      <c r="G5" s="40" t="s">
        <v>111</v>
      </c>
      <c r="H5" s="41">
        <v>80000</v>
      </c>
      <c r="I5" s="98"/>
      <c r="J5" s="98"/>
      <c r="K5" s="98"/>
    </row>
    <row r="6" spans="2:11" ht="14.1" customHeight="1" x14ac:dyDescent="0.2">
      <c r="B6" s="43" t="s">
        <v>112</v>
      </c>
      <c r="C6" s="44" t="s">
        <v>113</v>
      </c>
      <c r="D6" s="44" t="s">
        <v>114</v>
      </c>
      <c r="E6" s="44" t="s">
        <v>115</v>
      </c>
      <c r="F6" s="42"/>
      <c r="G6" s="40" t="s">
        <v>116</v>
      </c>
      <c r="H6" s="41">
        <v>50000</v>
      </c>
      <c r="I6" s="98"/>
      <c r="J6" s="98"/>
      <c r="K6" s="98"/>
    </row>
    <row r="7" spans="2:11" ht="14.1" customHeight="1" x14ac:dyDescent="0.2">
      <c r="B7" s="42" t="s">
        <v>117</v>
      </c>
      <c r="C7" s="45">
        <v>5000</v>
      </c>
      <c r="D7" s="45">
        <v>5000</v>
      </c>
      <c r="E7" s="46">
        <f>Housing[Budgeted Cost]-Housing[Actual Cost]</f>
        <v>0</v>
      </c>
      <c r="F7" s="42"/>
      <c r="G7" s="47" t="s">
        <v>118</v>
      </c>
      <c r="H7" s="48">
        <f>SUM(H4:H6)</f>
        <v>230000</v>
      </c>
      <c r="I7" s="98"/>
      <c r="J7" s="98"/>
      <c r="K7" s="98"/>
    </row>
    <row r="8" spans="2:11" ht="14.1" customHeight="1" x14ac:dyDescent="0.2">
      <c r="B8" s="42" t="s">
        <v>119</v>
      </c>
      <c r="C8" s="45">
        <v>0</v>
      </c>
      <c r="D8" s="45">
        <v>0</v>
      </c>
      <c r="E8" s="46">
        <f>Housing[Budgeted Cost]-Housing[Actual Cost]</f>
        <v>0</v>
      </c>
      <c r="F8" s="42"/>
      <c r="G8" s="49"/>
      <c r="H8" s="50"/>
      <c r="I8" s="98"/>
      <c r="J8" s="98"/>
      <c r="K8" s="98"/>
    </row>
    <row r="9" spans="2:11" ht="14.1" customHeight="1" x14ac:dyDescent="0.2">
      <c r="B9" s="42" t="s">
        <v>120</v>
      </c>
      <c r="C9" s="45">
        <v>3000</v>
      </c>
      <c r="D9" s="45">
        <v>2500</v>
      </c>
      <c r="E9" s="51">
        <f>Housing[Budgeted Cost]-Housing[Actual Cost]</f>
        <v>500</v>
      </c>
      <c r="F9" s="42"/>
      <c r="G9" s="96" t="s">
        <v>121</v>
      </c>
      <c r="H9" s="97"/>
      <c r="I9" s="98"/>
      <c r="J9" s="98"/>
      <c r="K9" s="98"/>
    </row>
    <row r="10" spans="2:11" ht="14.1" customHeight="1" x14ac:dyDescent="0.2">
      <c r="B10" s="42" t="s">
        <v>122</v>
      </c>
      <c r="C10" s="45">
        <v>10000</v>
      </c>
      <c r="D10" s="45">
        <v>15000</v>
      </c>
      <c r="E10" s="46">
        <f>Housing[Budgeted Cost]-Housing[Actual Cost]</f>
        <v>-5000</v>
      </c>
      <c r="F10" s="42"/>
      <c r="G10" s="40" t="s">
        <v>110</v>
      </c>
      <c r="H10" s="41">
        <v>100000</v>
      </c>
      <c r="I10" s="98"/>
      <c r="J10" s="98"/>
      <c r="K10" s="98"/>
    </row>
    <row r="11" spans="2:11" ht="14.1" customHeight="1" x14ac:dyDescent="0.2">
      <c r="B11" s="42" t="s">
        <v>123</v>
      </c>
      <c r="C11" s="45"/>
      <c r="D11" s="45"/>
      <c r="E11" s="46">
        <f>Housing[Budgeted Cost]-Housing[Actual Cost]</f>
        <v>0</v>
      </c>
      <c r="F11" s="42"/>
      <c r="G11" s="40" t="s">
        <v>111</v>
      </c>
      <c r="H11" s="41">
        <v>80000</v>
      </c>
      <c r="I11" s="98"/>
      <c r="J11" s="98"/>
      <c r="K11" s="98"/>
    </row>
    <row r="12" spans="2:11" ht="14.1" customHeight="1" x14ac:dyDescent="0.2">
      <c r="B12" s="42" t="s">
        <v>124</v>
      </c>
      <c r="C12" s="45"/>
      <c r="D12" s="45"/>
      <c r="E12" s="46">
        <f>Housing[Budgeted Cost]-Housing[Actual Cost]</f>
        <v>0</v>
      </c>
      <c r="F12" s="42"/>
      <c r="G12" s="40" t="s">
        <v>116</v>
      </c>
      <c r="H12" s="41">
        <v>25000</v>
      </c>
      <c r="I12" s="98"/>
      <c r="J12" s="98"/>
      <c r="K12" s="98"/>
    </row>
    <row r="13" spans="2:11" ht="14.1" customHeight="1" x14ac:dyDescent="0.2">
      <c r="B13" s="42" t="s">
        <v>125</v>
      </c>
      <c r="C13" s="45"/>
      <c r="D13" s="45"/>
      <c r="E13" s="46">
        <f>Housing[Budgeted Cost]-Housing[Actual Cost]</f>
        <v>0</v>
      </c>
      <c r="F13" s="42"/>
      <c r="G13" s="47" t="s">
        <v>118</v>
      </c>
      <c r="H13" s="48">
        <f>SUM(H10:H12)</f>
        <v>205000</v>
      </c>
      <c r="I13" s="98"/>
      <c r="J13" s="98"/>
      <c r="K13" s="98"/>
    </row>
    <row r="14" spans="2:11" ht="14.1" customHeight="1" x14ac:dyDescent="0.2">
      <c r="B14" s="42" t="s">
        <v>126</v>
      </c>
      <c r="C14" s="45"/>
      <c r="D14" s="45"/>
      <c r="E14" s="46">
        <f>Housing[Budgeted Cost]-Housing[Actual Cost]</f>
        <v>0</v>
      </c>
      <c r="F14" s="42"/>
      <c r="G14" s="37"/>
      <c r="H14" s="37"/>
      <c r="I14" s="98"/>
      <c r="J14" s="98"/>
      <c r="K14" s="98"/>
    </row>
    <row r="15" spans="2:11" ht="14.1" customHeight="1" x14ac:dyDescent="0.2">
      <c r="B15" s="42" t="s">
        <v>127</v>
      </c>
      <c r="C15" s="45"/>
      <c r="D15" s="45"/>
      <c r="E15" s="46">
        <f>Housing[Budgeted Cost]-Housing[Actual Cost]</f>
        <v>0</v>
      </c>
      <c r="F15" s="42"/>
      <c r="G15" s="52" t="s">
        <v>128</v>
      </c>
      <c r="H15" s="53">
        <f>SUM(H7-C4)</f>
        <v>212000</v>
      </c>
      <c r="I15" s="98"/>
      <c r="J15" s="98"/>
      <c r="K15" s="98"/>
    </row>
    <row r="16" spans="2:11" ht="14.1" customHeight="1" x14ac:dyDescent="0.2">
      <c r="B16" s="42" t="s">
        <v>129</v>
      </c>
      <c r="C16" s="45"/>
      <c r="D16" s="45"/>
      <c r="E16" s="46">
        <f>Housing[Budgeted Cost]-Housing[Actual Cost]</f>
        <v>0</v>
      </c>
      <c r="F16" s="42"/>
      <c r="G16" s="54" t="s">
        <v>130</v>
      </c>
      <c r="H16" s="55">
        <f>SUM(H13-D4)</f>
        <v>182500</v>
      </c>
      <c r="I16" s="98"/>
      <c r="J16" s="98"/>
      <c r="K16" s="98"/>
    </row>
    <row r="17" spans="2:11" ht="14.1" customHeight="1" x14ac:dyDescent="0.2">
      <c r="B17" s="42" t="s">
        <v>39</v>
      </c>
      <c r="C17" s="45"/>
      <c r="D17" s="45"/>
      <c r="E17" s="46">
        <f>Housing[Budgeted Cost]-Housing[Actual Cost]</f>
        <v>0</v>
      </c>
      <c r="F17" s="42"/>
      <c r="G17" s="56" t="s">
        <v>115</v>
      </c>
      <c r="H17" s="57">
        <f>SUM(H16-H15)</f>
        <v>-29500</v>
      </c>
      <c r="I17" s="98"/>
      <c r="J17" s="98"/>
      <c r="K17" s="98"/>
    </row>
    <row r="18" spans="2:11" ht="15.75" customHeight="1" x14ac:dyDescent="0.2">
      <c r="B18" s="58" t="s">
        <v>131</v>
      </c>
      <c r="C18" s="59">
        <f>SUBTOTAL(109,Housing[Budgeted Cost])</f>
        <v>18000</v>
      </c>
      <c r="D18" s="59">
        <f>SUBTOTAL(109,Housing[Actual Cost])</f>
        <v>22500</v>
      </c>
      <c r="E18" s="59">
        <f>SUBTOTAL(109,Housing[Difference])</f>
        <v>-4500</v>
      </c>
      <c r="F18" s="42"/>
      <c r="G18" s="42"/>
      <c r="H18" s="42"/>
      <c r="I18" s="98"/>
      <c r="J18" s="98"/>
      <c r="K18" s="98"/>
    </row>
    <row r="19" spans="2:11" ht="14.1" customHeight="1" x14ac:dyDescent="0.25">
      <c r="B19" s="90"/>
      <c r="C19" s="90"/>
      <c r="D19" s="90"/>
      <c r="E19" s="90"/>
      <c r="F19" s="42"/>
      <c r="G19" s="34"/>
      <c r="H19" s="34"/>
      <c r="I19" s="34"/>
      <c r="J19" s="34"/>
    </row>
    <row r="20" spans="2:11" ht="14.1" customHeight="1" x14ac:dyDescent="0.25">
      <c r="B20" s="60" t="s">
        <v>132</v>
      </c>
      <c r="C20" s="61" t="s">
        <v>133</v>
      </c>
      <c r="D20" s="61" t="s">
        <v>114</v>
      </c>
      <c r="E20" s="61" t="s">
        <v>115</v>
      </c>
      <c r="F20" s="42"/>
      <c r="G20" s="62" t="s">
        <v>134</v>
      </c>
      <c r="H20" s="63" t="s">
        <v>133</v>
      </c>
      <c r="I20" s="63" t="s">
        <v>114</v>
      </c>
      <c r="J20" s="63" t="s">
        <v>115</v>
      </c>
    </row>
    <row r="21" spans="2:11" ht="14.1" customHeight="1" x14ac:dyDescent="0.25">
      <c r="B21" s="42" t="s">
        <v>135</v>
      </c>
      <c r="C21" s="45"/>
      <c r="D21" s="45"/>
      <c r="E21" s="46">
        <f>Transportation[Projected Cost]-Transportation[Actual Cost]</f>
        <v>0</v>
      </c>
      <c r="F21" s="42"/>
      <c r="G21" s="64" t="s">
        <v>136</v>
      </c>
      <c r="H21" s="65"/>
      <c r="I21" s="65"/>
      <c r="J21" s="66">
        <f>Loans[Projected Cost]-Loans[Actual Cost]</f>
        <v>0</v>
      </c>
    </row>
    <row r="22" spans="2:11" ht="14.1" customHeight="1" x14ac:dyDescent="0.2">
      <c r="B22" s="42" t="s">
        <v>137</v>
      </c>
      <c r="C22" s="45"/>
      <c r="D22" s="45"/>
      <c r="E22" s="46">
        <f>Transportation[Projected Cost]-Transportation[Actual Cost]</f>
        <v>0</v>
      </c>
      <c r="F22" s="42"/>
      <c r="G22" s="64" t="s">
        <v>138</v>
      </c>
      <c r="H22" s="65"/>
      <c r="I22" s="65"/>
      <c r="J22" s="66">
        <f>Loans[Projected Cost]-Loans[Actual Cost]</f>
        <v>0</v>
      </c>
    </row>
    <row r="23" spans="2:11" ht="14.1" customHeight="1" x14ac:dyDescent="0.2">
      <c r="B23" s="42" t="s">
        <v>139</v>
      </c>
      <c r="C23" s="45"/>
      <c r="D23" s="45"/>
      <c r="E23" s="46">
        <f>Transportation[Projected Cost]-Transportation[Actual Cost]</f>
        <v>0</v>
      </c>
      <c r="F23" s="42"/>
      <c r="G23" s="64" t="s">
        <v>140</v>
      </c>
      <c r="H23" s="65"/>
      <c r="I23" s="65"/>
      <c r="J23" s="66">
        <f>Loans[Projected Cost]-Loans[Actual Cost]</f>
        <v>0</v>
      </c>
    </row>
    <row r="24" spans="2:11" ht="14.1" customHeight="1" x14ac:dyDescent="0.2">
      <c r="B24" s="42" t="s">
        <v>141</v>
      </c>
      <c r="C24" s="45"/>
      <c r="D24" s="45"/>
      <c r="E24" s="46">
        <f>Transportation[Projected Cost]-Transportation[Actual Cost]</f>
        <v>0</v>
      </c>
      <c r="F24" s="42"/>
      <c r="G24" s="64" t="s">
        <v>140</v>
      </c>
      <c r="H24" s="65"/>
      <c r="I24" s="65"/>
      <c r="J24" s="66">
        <f>Loans[Projected Cost]-Loans[Actual Cost]</f>
        <v>0</v>
      </c>
    </row>
    <row r="25" spans="2:11" ht="14.1" customHeight="1" x14ac:dyDescent="0.2">
      <c r="B25" s="42" t="s">
        <v>142</v>
      </c>
      <c r="C25" s="45"/>
      <c r="D25" s="45"/>
      <c r="E25" s="46">
        <f>Transportation[Projected Cost]-Transportation[Actual Cost]</f>
        <v>0</v>
      </c>
      <c r="F25" s="42"/>
      <c r="G25" s="64" t="s">
        <v>140</v>
      </c>
      <c r="H25" s="65"/>
      <c r="I25" s="65"/>
      <c r="J25" s="66">
        <f>Loans[Projected Cost]-Loans[Actual Cost]</f>
        <v>0</v>
      </c>
    </row>
    <row r="26" spans="2:11" ht="14.1" customHeight="1" x14ac:dyDescent="0.2">
      <c r="B26" s="42" t="s">
        <v>143</v>
      </c>
      <c r="C26" s="45"/>
      <c r="D26" s="45"/>
      <c r="E26" s="46">
        <f>Transportation[Projected Cost]-Transportation[Actual Cost]</f>
        <v>0</v>
      </c>
      <c r="F26" s="42"/>
      <c r="G26" s="64" t="s">
        <v>39</v>
      </c>
      <c r="H26" s="65"/>
      <c r="I26" s="65"/>
      <c r="J26" s="66">
        <f>Loans[Projected Cost]-Loans[Actual Cost]</f>
        <v>0</v>
      </c>
    </row>
    <row r="27" spans="2:11" ht="14.1" customHeight="1" x14ac:dyDescent="0.2">
      <c r="B27" s="42" t="s">
        <v>144</v>
      </c>
      <c r="C27" s="45"/>
      <c r="D27" s="45"/>
      <c r="E27" s="46">
        <f>Transportation[Projected Cost]-Transportation[Actual Cost]</f>
        <v>0</v>
      </c>
      <c r="F27" s="42"/>
      <c r="G27" s="67" t="s">
        <v>131</v>
      </c>
      <c r="H27" s="68">
        <f>SUBTOTAL(109,Loans[Projected Cost])</f>
        <v>0</v>
      </c>
      <c r="I27" s="68">
        <f>SUBTOTAL(109,Loans[Actual Cost])</f>
        <v>0</v>
      </c>
      <c r="J27" s="68">
        <f>SUBTOTAL(109,Loans[Difference])</f>
        <v>0</v>
      </c>
    </row>
    <row r="28" spans="2:11" ht="14.1" customHeight="1" x14ac:dyDescent="0.2">
      <c r="B28" s="42" t="s">
        <v>39</v>
      </c>
      <c r="C28" s="45"/>
      <c r="D28" s="45"/>
      <c r="E28" s="46">
        <f>Transportation[Projected Cost]-Transportation[Actual Cost]</f>
        <v>0</v>
      </c>
      <c r="F28" s="42"/>
      <c r="G28" s="92"/>
      <c r="H28" s="92"/>
      <c r="I28" s="92"/>
      <c r="J28" s="92"/>
    </row>
    <row r="29" spans="2:11" ht="14.1" customHeight="1" x14ac:dyDescent="0.2">
      <c r="B29" s="58" t="s">
        <v>131</v>
      </c>
      <c r="C29" s="59">
        <f>SUBTOTAL(109,Transportation[Projected Cost])</f>
        <v>0</v>
      </c>
      <c r="D29" s="59">
        <f>SUBTOTAL(109,Transportation[Actual Cost])</f>
        <v>0</v>
      </c>
      <c r="E29" s="59">
        <f>SUBTOTAL(109,Transportation[Difference])</f>
        <v>0</v>
      </c>
      <c r="F29" s="42"/>
      <c r="G29" s="69" t="s">
        <v>145</v>
      </c>
      <c r="H29" s="70" t="s">
        <v>133</v>
      </c>
      <c r="I29" s="70" t="s">
        <v>114</v>
      </c>
      <c r="J29" s="70" t="s">
        <v>115</v>
      </c>
    </row>
    <row r="30" spans="2:11" ht="14.1" customHeight="1" x14ac:dyDescent="0.2">
      <c r="B30" s="90"/>
      <c r="C30" s="90"/>
      <c r="D30" s="90"/>
      <c r="E30" s="90"/>
      <c r="F30" s="42"/>
      <c r="G30" s="42" t="s">
        <v>146</v>
      </c>
      <c r="H30" s="45"/>
      <c r="I30" s="45"/>
      <c r="J30" s="46">
        <f>Entertainment[Projected Cost]-Entertainment[Actual Cost]</f>
        <v>0</v>
      </c>
    </row>
    <row r="31" spans="2:11" ht="14.1" customHeight="1" x14ac:dyDescent="0.2">
      <c r="B31" s="71" t="s">
        <v>141</v>
      </c>
      <c r="C31" s="70" t="s">
        <v>133</v>
      </c>
      <c r="D31" s="70" t="s">
        <v>114</v>
      </c>
      <c r="E31" s="70" t="s">
        <v>115</v>
      </c>
      <c r="F31" s="42"/>
      <c r="G31" s="42" t="s">
        <v>147</v>
      </c>
      <c r="H31" s="45"/>
      <c r="I31" s="45"/>
      <c r="J31" s="46">
        <f>Entertainment[Projected Cost]-Entertainment[Actual Cost]</f>
        <v>0</v>
      </c>
    </row>
    <row r="32" spans="2:11" ht="14.1" customHeight="1" x14ac:dyDescent="0.2">
      <c r="B32" s="42" t="s">
        <v>148</v>
      </c>
      <c r="C32" s="45"/>
      <c r="D32" s="45"/>
      <c r="E32" s="46">
        <f>Insurance[Projected Cost]-Insurance[Actual Cost]</f>
        <v>0</v>
      </c>
      <c r="F32" s="42"/>
      <c r="G32" s="42" t="s">
        <v>149</v>
      </c>
      <c r="H32" s="45"/>
      <c r="I32" s="45"/>
      <c r="J32" s="46">
        <f>Entertainment[Projected Cost]-Entertainment[Actual Cost]</f>
        <v>0</v>
      </c>
    </row>
    <row r="33" spans="2:10" ht="14.1" customHeight="1" x14ac:dyDescent="0.2">
      <c r="B33" s="42" t="s">
        <v>150</v>
      </c>
      <c r="C33" s="45"/>
      <c r="D33" s="45"/>
      <c r="E33" s="46">
        <f>Insurance[Projected Cost]-Insurance[Actual Cost]</f>
        <v>0</v>
      </c>
      <c r="F33" s="42"/>
      <c r="G33" s="42" t="s">
        <v>151</v>
      </c>
      <c r="H33" s="45"/>
      <c r="I33" s="45"/>
      <c r="J33" s="46">
        <f>Entertainment[Projected Cost]-Entertainment[Actual Cost]</f>
        <v>0</v>
      </c>
    </row>
    <row r="34" spans="2:10" ht="14.1" customHeight="1" x14ac:dyDescent="0.2">
      <c r="B34" s="42" t="s">
        <v>152</v>
      </c>
      <c r="C34" s="45"/>
      <c r="D34" s="45"/>
      <c r="E34" s="46">
        <f>Insurance[Projected Cost]-Insurance[Actual Cost]</f>
        <v>0</v>
      </c>
      <c r="F34" s="42"/>
      <c r="G34" s="42" t="s">
        <v>153</v>
      </c>
      <c r="H34" s="45"/>
      <c r="I34" s="45"/>
      <c r="J34" s="46">
        <f>Entertainment[Projected Cost]-Entertainment[Actual Cost]</f>
        <v>0</v>
      </c>
    </row>
    <row r="35" spans="2:10" ht="14.1" customHeight="1" x14ac:dyDescent="0.2">
      <c r="B35" s="42" t="s">
        <v>39</v>
      </c>
      <c r="C35" s="45"/>
      <c r="D35" s="45"/>
      <c r="E35" s="46">
        <f>Insurance[Projected Cost]-Insurance[Actual Cost]</f>
        <v>0</v>
      </c>
      <c r="F35" s="42"/>
      <c r="G35" s="42" t="s">
        <v>154</v>
      </c>
      <c r="H35" s="45"/>
      <c r="I35" s="45"/>
      <c r="J35" s="46">
        <f>Entertainment[Projected Cost]-Entertainment[Actual Cost]</f>
        <v>0</v>
      </c>
    </row>
    <row r="36" spans="2:10" ht="14.1" customHeight="1" x14ac:dyDescent="0.2">
      <c r="B36" s="58" t="s">
        <v>131</v>
      </c>
      <c r="C36" s="59">
        <f>SUBTOTAL(109,Insurance[Projected Cost])</f>
        <v>0</v>
      </c>
      <c r="D36" s="59">
        <f>SUBTOTAL(109,Insurance[Actual Cost])</f>
        <v>0</v>
      </c>
      <c r="E36" s="59">
        <f>SUBTOTAL(109,Insurance[Difference])</f>
        <v>0</v>
      </c>
      <c r="F36" s="42"/>
      <c r="G36" s="42" t="s">
        <v>39</v>
      </c>
      <c r="H36" s="45"/>
      <c r="I36" s="45"/>
      <c r="J36" s="46">
        <f>Entertainment[Projected Cost]-Entertainment[Actual Cost]</f>
        <v>0</v>
      </c>
    </row>
    <row r="37" spans="2:10" ht="14.1" customHeight="1" x14ac:dyDescent="0.2">
      <c r="B37" s="90"/>
      <c r="C37" s="90"/>
      <c r="D37" s="90"/>
      <c r="E37" s="90"/>
      <c r="F37" s="42"/>
      <c r="G37" s="58" t="s">
        <v>131</v>
      </c>
      <c r="H37" s="59">
        <f>SUBTOTAL(109,Entertainment[Projected Cost])</f>
        <v>0</v>
      </c>
      <c r="I37" s="59">
        <f>SUBTOTAL(109,Entertainment[Actual Cost])</f>
        <v>0</v>
      </c>
      <c r="J37" s="59">
        <f>SUBTOTAL(109,Entertainment[Difference])</f>
        <v>0</v>
      </c>
    </row>
    <row r="38" spans="2:10" ht="14.1" customHeight="1" x14ac:dyDescent="0.2">
      <c r="B38" s="71" t="s">
        <v>155</v>
      </c>
      <c r="C38" s="70" t="s">
        <v>133</v>
      </c>
      <c r="D38" s="70" t="s">
        <v>114</v>
      </c>
      <c r="E38" s="70" t="s">
        <v>115</v>
      </c>
      <c r="F38" s="42"/>
      <c r="G38" s="90"/>
      <c r="H38" s="90"/>
      <c r="I38" s="90"/>
      <c r="J38" s="90"/>
    </row>
    <row r="39" spans="2:10" ht="14.1" customHeight="1" x14ac:dyDescent="0.2">
      <c r="B39" s="42" t="s">
        <v>156</v>
      </c>
      <c r="C39" s="45"/>
      <c r="D39" s="45"/>
      <c r="E39" s="46">
        <f>Food[Projected Cost]-Food[Actual Cost]</f>
        <v>0</v>
      </c>
      <c r="F39" s="42"/>
      <c r="G39" s="72" t="s">
        <v>157</v>
      </c>
      <c r="H39" s="70" t="s">
        <v>133</v>
      </c>
      <c r="I39" s="70" t="s">
        <v>114</v>
      </c>
      <c r="J39" s="70" t="s">
        <v>115</v>
      </c>
    </row>
    <row r="40" spans="2:10" ht="14.1" customHeight="1" x14ac:dyDescent="0.2">
      <c r="B40" s="42" t="s">
        <v>158</v>
      </c>
      <c r="C40" s="45"/>
      <c r="D40" s="45"/>
      <c r="E40" s="46">
        <f>Food[Projected Cost]-Food[Actual Cost]</f>
        <v>0</v>
      </c>
      <c r="F40" s="42"/>
      <c r="G40" s="42" t="s">
        <v>159</v>
      </c>
      <c r="H40" s="45"/>
      <c r="I40" s="45"/>
      <c r="J40" s="46">
        <f>Taxes[Projected Cost]-Taxes[Actual Cost]</f>
        <v>0</v>
      </c>
    </row>
    <row r="41" spans="2:10" ht="14.1" customHeight="1" x14ac:dyDescent="0.2">
      <c r="B41" s="42" t="s">
        <v>39</v>
      </c>
      <c r="C41" s="45"/>
      <c r="D41" s="45"/>
      <c r="E41" s="46">
        <f>Food[Projected Cost]-Food[Actual Cost]</f>
        <v>0</v>
      </c>
      <c r="F41" s="42"/>
      <c r="G41" s="42" t="s">
        <v>160</v>
      </c>
      <c r="H41" s="45"/>
      <c r="I41" s="45"/>
      <c r="J41" s="46">
        <f>Taxes[Projected Cost]-Taxes[Actual Cost]</f>
        <v>0</v>
      </c>
    </row>
    <row r="42" spans="2:10" ht="14.1" customHeight="1" x14ac:dyDescent="0.2">
      <c r="B42" s="58" t="s">
        <v>131</v>
      </c>
      <c r="C42" s="59">
        <f>SUBTOTAL(109,Food[Projected Cost])</f>
        <v>0</v>
      </c>
      <c r="D42" s="59">
        <f>SUBTOTAL(109,Food[Actual Cost])</f>
        <v>0</v>
      </c>
      <c r="E42" s="59">
        <f>SUBTOTAL(109,Food[Difference])</f>
        <v>0</v>
      </c>
      <c r="F42" s="42"/>
      <c r="G42" s="42" t="s">
        <v>161</v>
      </c>
      <c r="H42" s="45"/>
      <c r="I42" s="45"/>
      <c r="J42" s="46">
        <f>Taxes[Projected Cost]-Taxes[Actual Cost]</f>
        <v>0</v>
      </c>
    </row>
    <row r="43" spans="2:10" ht="14.1" customHeight="1" x14ac:dyDescent="0.2">
      <c r="B43" s="90"/>
      <c r="C43" s="90"/>
      <c r="D43" s="90"/>
      <c r="E43" s="90"/>
      <c r="F43" s="42"/>
      <c r="G43" s="42" t="s">
        <v>39</v>
      </c>
      <c r="H43" s="45"/>
      <c r="I43" s="45"/>
      <c r="J43" s="46">
        <f>Taxes[Projected Cost]-Taxes[Actual Cost]</f>
        <v>0</v>
      </c>
    </row>
    <row r="44" spans="2:10" ht="14.1" customHeight="1" x14ac:dyDescent="0.2">
      <c r="B44" s="71" t="s">
        <v>162</v>
      </c>
      <c r="C44" s="70" t="s">
        <v>133</v>
      </c>
      <c r="D44" s="70" t="s">
        <v>114</v>
      </c>
      <c r="E44" s="70" t="s">
        <v>115</v>
      </c>
      <c r="F44" s="42"/>
      <c r="G44" s="58" t="s">
        <v>131</v>
      </c>
      <c r="H44" s="59">
        <f>SUBTOTAL(109,Taxes[Projected Cost])</f>
        <v>0</v>
      </c>
      <c r="I44" s="59">
        <f>SUBTOTAL(109,Taxes[Actual Cost])</f>
        <v>0</v>
      </c>
      <c r="J44" s="59">
        <f>SUBTOTAL(109,Taxes[Difference])</f>
        <v>0</v>
      </c>
    </row>
    <row r="45" spans="2:10" ht="14.1" customHeight="1" x14ac:dyDescent="0.2">
      <c r="B45" s="69" t="s">
        <v>163</v>
      </c>
      <c r="C45" s="45"/>
      <c r="D45" s="45"/>
      <c r="E45" s="46">
        <f>Children[Projected Cost]-Children[Actual Cost]</f>
        <v>0</v>
      </c>
      <c r="F45" s="42"/>
      <c r="G45" s="91"/>
      <c r="H45" s="91"/>
      <c r="I45" s="91"/>
      <c r="J45" s="91"/>
    </row>
    <row r="46" spans="2:10" ht="14.1" customHeight="1" x14ac:dyDescent="0.2">
      <c r="B46" s="69" t="s">
        <v>164</v>
      </c>
      <c r="C46" s="45"/>
      <c r="D46" s="45"/>
      <c r="E46" s="46">
        <f>Children[Projected Cost]-Children[Actual Cost]</f>
        <v>0</v>
      </c>
      <c r="F46" s="42"/>
      <c r="G46" s="73" t="s">
        <v>165</v>
      </c>
      <c r="H46" s="63" t="s">
        <v>133</v>
      </c>
      <c r="I46" s="63" t="s">
        <v>114</v>
      </c>
      <c r="J46" s="63" t="s">
        <v>115</v>
      </c>
    </row>
    <row r="47" spans="2:10" ht="14.1" customHeight="1" x14ac:dyDescent="0.2">
      <c r="B47" s="69" t="s">
        <v>166</v>
      </c>
      <c r="C47" s="45"/>
      <c r="D47" s="45"/>
      <c r="E47" s="46">
        <f>Children[Projected Cost]-Children[Actual Cost]</f>
        <v>0</v>
      </c>
      <c r="F47" s="42"/>
      <c r="G47" s="64" t="s">
        <v>163</v>
      </c>
      <c r="H47" s="65"/>
      <c r="I47" s="65"/>
      <c r="J47" s="66">
        <f>PersonalCare[Projected Cost]-PersonalCare[Actual Cost]</f>
        <v>0</v>
      </c>
    </row>
    <row r="48" spans="2:10" ht="14.1" customHeight="1" x14ac:dyDescent="0.2">
      <c r="B48" s="69" t="s">
        <v>167</v>
      </c>
      <c r="C48" s="45"/>
      <c r="D48" s="45"/>
      <c r="E48" s="46">
        <f>Children[Projected Cost]-Children[Actual Cost]</f>
        <v>0</v>
      </c>
      <c r="F48" s="42"/>
      <c r="G48" s="64" t="s">
        <v>168</v>
      </c>
      <c r="H48" s="65"/>
      <c r="I48" s="65"/>
      <c r="J48" s="66">
        <f>PersonalCare[Projected Cost]-PersonalCare[Actual Cost]</f>
        <v>0</v>
      </c>
    </row>
    <row r="49" spans="2:10" ht="15" customHeight="1" x14ac:dyDescent="0.2">
      <c r="B49" s="69" t="s">
        <v>169</v>
      </c>
      <c r="C49" s="45"/>
      <c r="D49" s="45"/>
      <c r="E49" s="46">
        <f>Children[Projected Cost]-Children[Actual Cost]</f>
        <v>0</v>
      </c>
      <c r="F49" s="42"/>
      <c r="G49" s="64" t="s">
        <v>164</v>
      </c>
      <c r="H49" s="65"/>
      <c r="I49" s="65"/>
      <c r="J49" s="66">
        <f>PersonalCare[Projected Cost]-PersonalCare[Actual Cost]</f>
        <v>0</v>
      </c>
    </row>
    <row r="50" spans="2:10" ht="14.1" customHeight="1" x14ac:dyDescent="0.2">
      <c r="B50" s="69" t="s">
        <v>170</v>
      </c>
      <c r="C50" s="45"/>
      <c r="D50" s="45"/>
      <c r="E50" s="46">
        <f>Children[Projected Cost]-Children[Actual Cost]</f>
        <v>0</v>
      </c>
      <c r="F50" s="42"/>
      <c r="G50" s="64" t="s">
        <v>171</v>
      </c>
      <c r="H50" s="65"/>
      <c r="I50" s="65"/>
      <c r="J50" s="66">
        <f>PersonalCare[Projected Cost]-PersonalCare[Actual Cost]</f>
        <v>0</v>
      </c>
    </row>
    <row r="51" spans="2:10" ht="14.1" customHeight="1" x14ac:dyDescent="0.2">
      <c r="B51" s="69" t="s">
        <v>172</v>
      </c>
      <c r="C51" s="45"/>
      <c r="D51" s="45"/>
      <c r="E51" s="46">
        <f>Children[Projected Cost]-Children[Actual Cost]</f>
        <v>0</v>
      </c>
      <c r="F51" s="42"/>
      <c r="G51" s="64" t="s">
        <v>173</v>
      </c>
      <c r="H51" s="65"/>
      <c r="I51" s="65"/>
      <c r="J51" s="66">
        <f>PersonalCare[Projected Cost]-PersonalCare[Actual Cost]</f>
        <v>0</v>
      </c>
    </row>
    <row r="52" spans="2:10" ht="14.1" customHeight="1" x14ac:dyDescent="0.2">
      <c r="B52" s="69" t="s">
        <v>174</v>
      </c>
      <c r="C52" s="45"/>
      <c r="D52" s="45"/>
      <c r="E52" s="46">
        <f>Children[Projected Cost]-Children[Actual Cost]</f>
        <v>0</v>
      </c>
      <c r="F52" s="42"/>
      <c r="G52" s="64" t="s">
        <v>175</v>
      </c>
      <c r="H52" s="65"/>
      <c r="I52" s="65"/>
      <c r="J52" s="66">
        <f>PersonalCare[Projected Cost]-PersonalCare[Actual Cost]</f>
        <v>0</v>
      </c>
    </row>
    <row r="53" spans="2:10" ht="14.1" customHeight="1" x14ac:dyDescent="0.2">
      <c r="B53" s="69" t="s">
        <v>39</v>
      </c>
      <c r="C53" s="45"/>
      <c r="D53" s="45"/>
      <c r="E53" s="46">
        <f>Children[Projected Cost]-Children[Actual Cost]</f>
        <v>0</v>
      </c>
      <c r="F53" s="42"/>
      <c r="G53" s="64" t="s">
        <v>39</v>
      </c>
      <c r="H53" s="65"/>
      <c r="I53" s="65"/>
      <c r="J53" s="66">
        <f>PersonalCare[Projected Cost]-PersonalCare[Actual Cost]</f>
        <v>0</v>
      </c>
    </row>
    <row r="54" spans="2:10" ht="14.1" customHeight="1" x14ac:dyDescent="0.2">
      <c r="B54" s="58" t="s">
        <v>131</v>
      </c>
      <c r="C54" s="59">
        <f>SUBTOTAL(109,Children[Projected Cost])</f>
        <v>0</v>
      </c>
      <c r="D54" s="59">
        <f>SUBTOTAL(109,Children[Actual Cost])</f>
        <v>0</v>
      </c>
      <c r="E54" s="59">
        <f>SUBTOTAL(109,Children[Difference])</f>
        <v>0</v>
      </c>
      <c r="F54" s="42"/>
      <c r="G54" s="67" t="s">
        <v>131</v>
      </c>
      <c r="H54" s="59">
        <f>SUBTOTAL(109,PersonalCare[Projected Cost])</f>
        <v>0</v>
      </c>
      <c r="I54" s="59">
        <f>SUBTOTAL(109,PersonalCare[Actual Cost])</f>
        <v>0</v>
      </c>
      <c r="J54" s="59">
        <f>SUBTOTAL(109,PersonalCare[Difference])</f>
        <v>0</v>
      </c>
    </row>
    <row r="55" spans="2:10" ht="14.1" customHeight="1" x14ac:dyDescent="0.2">
      <c r="B55" s="90"/>
      <c r="C55" s="90"/>
      <c r="D55" s="90"/>
      <c r="E55" s="90"/>
      <c r="F55" s="42"/>
      <c r="G55" s="91"/>
      <c r="H55" s="91"/>
      <c r="I55" s="91"/>
      <c r="J55" s="91"/>
    </row>
    <row r="56" spans="2:10" ht="14.1" customHeight="1" x14ac:dyDescent="0.2">
      <c r="B56" s="62" t="s">
        <v>176</v>
      </c>
      <c r="C56" s="63" t="s">
        <v>133</v>
      </c>
      <c r="D56" s="63" t="s">
        <v>114</v>
      </c>
      <c r="E56" s="63" t="s">
        <v>115</v>
      </c>
      <c r="F56" s="42"/>
      <c r="G56" s="73" t="s">
        <v>177</v>
      </c>
      <c r="H56" s="63" t="s">
        <v>133</v>
      </c>
      <c r="I56" s="63" t="s">
        <v>114</v>
      </c>
      <c r="J56" s="63" t="s">
        <v>115</v>
      </c>
    </row>
    <row r="57" spans="2:10" ht="14.1" customHeight="1" x14ac:dyDescent="0.2">
      <c r="B57" s="64" t="s">
        <v>178</v>
      </c>
      <c r="C57" s="65"/>
      <c r="D57" s="65"/>
      <c r="E57" s="66">
        <f>Legal[Projected Cost]-Legal[Actual Cost]</f>
        <v>0</v>
      </c>
      <c r="F57" s="42"/>
      <c r="G57" s="64" t="s">
        <v>155</v>
      </c>
      <c r="H57" s="65"/>
      <c r="I57" s="65"/>
      <c r="J57" s="66">
        <f>Pets[Projected Cost]-Pets[Actual Cost]</f>
        <v>0</v>
      </c>
    </row>
    <row r="58" spans="2:10" ht="14.1" customHeight="1" x14ac:dyDescent="0.2">
      <c r="B58" s="64" t="s">
        <v>179</v>
      </c>
      <c r="C58" s="65"/>
      <c r="D58" s="65"/>
      <c r="E58" s="66">
        <f>Legal[Projected Cost]-Legal[Actual Cost]</f>
        <v>0</v>
      </c>
      <c r="F58" s="42"/>
      <c r="G58" s="64" t="s">
        <v>163</v>
      </c>
      <c r="H58" s="65"/>
      <c r="I58" s="65"/>
      <c r="J58" s="66">
        <f>Pets[Projected Cost]-Pets[Actual Cost]</f>
        <v>0</v>
      </c>
    </row>
    <row r="59" spans="2:10" ht="14.1" customHeight="1" x14ac:dyDescent="0.2">
      <c r="B59" s="74" t="s">
        <v>180</v>
      </c>
      <c r="C59" s="65"/>
      <c r="D59" s="65"/>
      <c r="E59" s="66">
        <f>Legal[Projected Cost]-Legal[Actual Cost]</f>
        <v>0</v>
      </c>
      <c r="F59" s="42"/>
      <c r="G59" s="64" t="s">
        <v>181</v>
      </c>
      <c r="H59" s="65"/>
      <c r="I59" s="65"/>
      <c r="J59" s="66">
        <f>Pets[Projected Cost]-Pets[Actual Cost]</f>
        <v>0</v>
      </c>
    </row>
    <row r="60" spans="2:10" ht="14.1" customHeight="1" x14ac:dyDescent="0.2">
      <c r="B60" s="64" t="s">
        <v>39</v>
      </c>
      <c r="C60" s="65"/>
      <c r="D60" s="65"/>
      <c r="E60" s="66">
        <f>Legal[Projected Cost]-Legal[Actual Cost]</f>
        <v>0</v>
      </c>
      <c r="F60" s="42"/>
      <c r="G60" s="64" t="s">
        <v>182</v>
      </c>
      <c r="H60" s="65"/>
      <c r="I60" s="65"/>
      <c r="J60" s="66">
        <f>Pets[Projected Cost]-Pets[Actual Cost]</f>
        <v>0</v>
      </c>
    </row>
    <row r="61" spans="2:10" ht="14.1" customHeight="1" x14ac:dyDescent="0.2">
      <c r="B61" s="67" t="s">
        <v>131</v>
      </c>
      <c r="C61" s="59">
        <f>SUBTOTAL(109,Legal[Projected Cost])</f>
        <v>0</v>
      </c>
      <c r="D61" s="59">
        <f>SUBTOTAL(109,Legal[Actual Cost])</f>
        <v>0</v>
      </c>
      <c r="E61" s="59">
        <f>SUBTOTAL(109,Legal[Difference])</f>
        <v>0</v>
      </c>
      <c r="F61" s="42"/>
      <c r="G61" s="64" t="s">
        <v>39</v>
      </c>
      <c r="H61" s="65"/>
      <c r="I61" s="65"/>
      <c r="J61" s="66">
        <f>Pets[Projected Cost]-Pets[Actual Cost]</f>
        <v>0</v>
      </c>
    </row>
    <row r="62" spans="2:10" ht="14.1" customHeight="1" x14ac:dyDescent="0.2">
      <c r="B62" s="90"/>
      <c r="C62" s="90"/>
      <c r="D62" s="90"/>
      <c r="E62" s="90"/>
      <c r="F62" s="42"/>
      <c r="G62" s="67" t="s">
        <v>131</v>
      </c>
      <c r="H62" s="59">
        <f>SUBTOTAL(109,Pets[Projected Cost])</f>
        <v>0</v>
      </c>
      <c r="I62" s="59">
        <f>SUBTOTAL(109,Pets[Actual Cost])</f>
        <v>0</v>
      </c>
      <c r="J62" s="59">
        <f>SUBTOTAL(109,Pets[Difference])</f>
        <v>0</v>
      </c>
    </row>
    <row r="63" spans="2:10" ht="14.1" customHeight="1" x14ac:dyDescent="0.2">
      <c r="B63" s="75" t="s">
        <v>183</v>
      </c>
      <c r="C63" s="63" t="s">
        <v>133</v>
      </c>
      <c r="D63" s="63" t="s">
        <v>114</v>
      </c>
      <c r="E63" s="63" t="s">
        <v>115</v>
      </c>
      <c r="F63" s="42"/>
      <c r="G63" s="90"/>
      <c r="H63" s="90"/>
      <c r="I63" s="90"/>
      <c r="J63" s="90"/>
    </row>
    <row r="64" spans="2:10" ht="14.1" customHeight="1" x14ac:dyDescent="0.2">
      <c r="B64" s="64" t="s">
        <v>184</v>
      </c>
      <c r="C64" s="65"/>
      <c r="D64" s="65"/>
      <c r="E64" s="66">
        <f>Savings[Projected Cost]-Savings[Actual Cost]</f>
        <v>0</v>
      </c>
      <c r="F64" s="42"/>
      <c r="G64" s="72" t="s">
        <v>185</v>
      </c>
      <c r="H64" s="70" t="s">
        <v>133</v>
      </c>
      <c r="I64" s="70" t="s">
        <v>114</v>
      </c>
      <c r="J64" s="70" t="s">
        <v>115</v>
      </c>
    </row>
    <row r="65" spans="2:10" ht="14.1" customHeight="1" x14ac:dyDescent="0.2">
      <c r="B65" s="64" t="s">
        <v>186</v>
      </c>
      <c r="C65" s="65"/>
      <c r="D65" s="65"/>
      <c r="E65" s="66">
        <f>Savings[Projected Cost]-Savings[Actual Cost]</f>
        <v>0</v>
      </c>
      <c r="F65" s="42"/>
      <c r="G65" s="42" t="s">
        <v>187</v>
      </c>
      <c r="H65" s="45"/>
      <c r="I65" s="45"/>
      <c r="J65" s="46">
        <f>Gifts[Projected Cost]-Gifts[Actual Cost]</f>
        <v>0</v>
      </c>
    </row>
    <row r="66" spans="2:10" ht="14.1" customHeight="1" x14ac:dyDescent="0.2">
      <c r="B66" s="64" t="s">
        <v>188</v>
      </c>
      <c r="C66" s="65"/>
      <c r="D66" s="65"/>
      <c r="E66" s="66">
        <f>Savings[Projected Cost]-Savings[Actual Cost]</f>
        <v>0</v>
      </c>
      <c r="F66" s="42"/>
      <c r="G66" s="42" t="s">
        <v>189</v>
      </c>
      <c r="H66" s="45"/>
      <c r="I66" s="45"/>
      <c r="J66" s="46">
        <f>Gifts[Projected Cost]-Gifts[Actual Cost]</f>
        <v>0</v>
      </c>
    </row>
    <row r="67" spans="2:10" ht="14.1" customHeight="1" x14ac:dyDescent="0.2">
      <c r="B67" s="64" t="s">
        <v>39</v>
      </c>
      <c r="C67" s="65"/>
      <c r="D67" s="65"/>
      <c r="E67" s="66">
        <f>Savings[Projected Cost]-Savings[Actual Cost]</f>
        <v>0</v>
      </c>
      <c r="F67" s="42"/>
      <c r="G67" s="42" t="s">
        <v>190</v>
      </c>
      <c r="H67" s="45"/>
      <c r="I67" s="45"/>
      <c r="J67" s="46">
        <f>Gifts[Projected Cost]-Gifts[Actual Cost]</f>
        <v>0</v>
      </c>
    </row>
    <row r="68" spans="2:10" ht="14.1" customHeight="1" x14ac:dyDescent="0.2">
      <c r="B68" s="67" t="s">
        <v>131</v>
      </c>
      <c r="C68" s="59">
        <f>SUBTOTAL(109,Savings[Projected Cost])</f>
        <v>0</v>
      </c>
      <c r="D68" s="59">
        <f>SUBTOTAL(109,Savings[Actual Cost])</f>
        <v>0</v>
      </c>
      <c r="E68" s="59">
        <f>SUBTOTAL(109,Savings[Difference])</f>
        <v>0</v>
      </c>
      <c r="F68" s="42"/>
      <c r="G68" s="58" t="s">
        <v>131</v>
      </c>
      <c r="H68" s="59">
        <f>SUBTOTAL(109,Gifts[Projected Cost])</f>
        <v>0</v>
      </c>
      <c r="I68" s="59">
        <f>SUBTOTAL(109,Gifts[Actual Cost])</f>
        <v>0</v>
      </c>
      <c r="J68" s="59">
        <f>SUBTOTAL(109,Gifts[Difference])</f>
        <v>0</v>
      </c>
    </row>
    <row r="76" spans="2:10" x14ac:dyDescent="0.2">
      <c r="B76" s="89" t="s">
        <v>234</v>
      </c>
      <c r="C76" s="89" t="s">
        <v>235</v>
      </c>
      <c r="D76" s="89" t="s">
        <v>236</v>
      </c>
      <c r="E76" s="89" t="s">
        <v>237</v>
      </c>
    </row>
    <row r="77" spans="2:10" ht="15" x14ac:dyDescent="0.25">
      <c r="B77" s="88" t="s">
        <v>238</v>
      </c>
      <c r="C77" s="87">
        <v>100</v>
      </c>
      <c r="D77" s="87">
        <v>90</v>
      </c>
      <c r="E77" s="87">
        <v>100</v>
      </c>
    </row>
    <row r="78" spans="2:10" ht="15" x14ac:dyDescent="0.25">
      <c r="B78" s="88" t="s">
        <v>239</v>
      </c>
      <c r="C78" s="87">
        <v>40</v>
      </c>
      <c r="D78" s="87">
        <v>60</v>
      </c>
      <c r="E78" s="87">
        <v>49</v>
      </c>
    </row>
    <row r="79" spans="2:10" ht="15" x14ac:dyDescent="0.25">
      <c r="B79" s="88" t="s">
        <v>240</v>
      </c>
      <c r="C79" s="87">
        <v>80</v>
      </c>
      <c r="D79" s="87">
        <v>70</v>
      </c>
      <c r="E79" s="87">
        <v>81</v>
      </c>
    </row>
    <row r="82" spans="1:4" x14ac:dyDescent="0.2">
      <c r="B82" s="89" t="s">
        <v>234</v>
      </c>
      <c r="C82" s="89" t="s">
        <v>241</v>
      </c>
    </row>
    <row r="83" spans="1:4" x14ac:dyDescent="0.2">
      <c r="B83" s="88" t="s">
        <v>238</v>
      </c>
      <c r="C83" s="88">
        <v>100</v>
      </c>
    </row>
    <row r="84" spans="1:4" x14ac:dyDescent="0.2">
      <c r="B84" s="88" t="s">
        <v>239</v>
      </c>
      <c r="C84" s="88">
        <v>50</v>
      </c>
    </row>
    <row r="85" spans="1:4" x14ac:dyDescent="0.2">
      <c r="B85" s="88" t="s">
        <v>240</v>
      </c>
      <c r="C85" s="88">
        <v>80</v>
      </c>
    </row>
    <row r="87" spans="1:4" ht="15" x14ac:dyDescent="0.25">
      <c r="A87"/>
      <c r="B87"/>
      <c r="C87"/>
      <c r="D87"/>
    </row>
    <row r="88" spans="1:4" ht="15" x14ac:dyDescent="0.25">
      <c r="A88"/>
      <c r="B88"/>
      <c r="C88"/>
      <c r="D88"/>
    </row>
    <row r="89" spans="1:4" ht="15" x14ac:dyDescent="0.25">
      <c r="A89"/>
      <c r="B89"/>
      <c r="C89"/>
      <c r="D89"/>
    </row>
    <row r="90" spans="1:4" ht="15" x14ac:dyDescent="0.25">
      <c r="A90"/>
      <c r="B90"/>
      <c r="C90"/>
      <c r="D90"/>
    </row>
  </sheetData>
  <mergeCells count="16">
    <mergeCell ref="B19:E19"/>
    <mergeCell ref="B1:H1"/>
    <mergeCell ref="B3:C3"/>
    <mergeCell ref="G3:H3"/>
    <mergeCell ref="I3:K18"/>
    <mergeCell ref="G9:H9"/>
    <mergeCell ref="B55:E55"/>
    <mergeCell ref="G55:J55"/>
    <mergeCell ref="B62:E62"/>
    <mergeCell ref="G63:J63"/>
    <mergeCell ref="G28:J28"/>
    <mergeCell ref="B30:E30"/>
    <mergeCell ref="B37:E37"/>
    <mergeCell ref="G38:J38"/>
    <mergeCell ref="B43:E43"/>
    <mergeCell ref="G45:J45"/>
  </mergeCells>
  <conditionalFormatting sqref="E7:E17 J57:J61 J47:J53 J40:J43 J30:J36 E64:E67 E57:E60 E45:E53 E39:E41 E32:E35 E21:E28 H17 J21:J26 J65:J67">
    <cfRule type="iconSet" priority="8">
      <iconSet iconSet="3Arrows">
        <cfvo type="percentile" val="0"/>
        <cfvo type="num" val="-50"/>
        <cfvo type="num" val="50"/>
      </iconSet>
    </cfRule>
  </conditionalFormatting>
  <printOptions horizontalCentered="1"/>
  <pageMargins left="0.5" right="0.5" top="0.6" bottom="0.5" header="0.5" footer="0.5"/>
  <pageSetup scale="73" fitToHeight="0" orientation="portrait" r:id="rId1"/>
  <headerFooter alignWithMargins="0"/>
  <legacy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76FFED7E-FCC6-4D13-8C20-89C21E1B9321}">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Video 10</vt:lpstr>
      <vt:lpstr>Dashboard</vt:lpstr>
      <vt:lpstr>Datasheet</vt:lpstr>
      <vt:lpstr>Nestle Stock Analysis</vt:lpstr>
      <vt:lpstr>Monthly Family Budget</vt:lpstr>
      <vt:lpstr>'Monthly Family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Olafusi</dc:creator>
  <cp:lastModifiedBy>Michael Olafusi</cp:lastModifiedBy>
  <dcterms:created xsi:type="dcterms:W3CDTF">2014-06-15T18:28:50Z</dcterms:created>
  <dcterms:modified xsi:type="dcterms:W3CDTF">2016-12-15T08:42:38Z</dcterms:modified>
</cp:coreProperties>
</file>